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MPARTIDO\IFN4\Sig\P46\TABLAS\TABLAS ENTREGA\4. Dendrometría\"/>
    </mc:Choice>
  </mc:AlternateContent>
  <bookViews>
    <workbookView xWindow="0" yWindow="0" windowWidth="19200" windowHeight="10260"/>
  </bookViews>
  <sheets>
    <sheet name="46-409" sheetId="1" r:id="rId1"/>
  </sheets>
  <externalReferences>
    <externalReference r:id="rId2"/>
  </externalReferences>
  <definedNames>
    <definedName name="_xlnm._FilterDatabase" localSheetId="0" hidden="1">'46-409'!$A$6:$Q$39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5" i="1" l="1"/>
  <c r="J55" i="1"/>
  <c r="I55" i="1"/>
  <c r="F55" i="1"/>
  <c r="E55" i="1"/>
  <c r="H55" i="1" s="1"/>
  <c r="B55" i="1"/>
  <c r="O52" i="1"/>
  <c r="J52" i="1"/>
  <c r="I52" i="1"/>
  <c r="F52" i="1"/>
  <c r="E52" i="1"/>
  <c r="H52" i="1" s="1"/>
  <c r="B52" i="1"/>
  <c r="O48" i="1"/>
  <c r="J48" i="1"/>
  <c r="I48" i="1"/>
  <c r="F48" i="1"/>
  <c r="E48" i="1"/>
  <c r="H48" i="1" s="1"/>
  <c r="B48" i="1"/>
  <c r="O47" i="1"/>
  <c r="J47" i="1"/>
  <c r="I47" i="1"/>
  <c r="F47" i="1"/>
  <c r="E47" i="1"/>
  <c r="H47" i="1" s="1"/>
  <c r="B47" i="1"/>
  <c r="O46" i="1"/>
  <c r="J46" i="1"/>
  <c r="I46" i="1"/>
  <c r="F46" i="1"/>
  <c r="E46" i="1"/>
  <c r="H46" i="1" s="1"/>
  <c r="B46" i="1"/>
  <c r="O45" i="1"/>
  <c r="J45" i="1"/>
  <c r="I45" i="1"/>
  <c r="F45" i="1"/>
  <c r="E45" i="1"/>
  <c r="H45" i="1" s="1"/>
  <c r="N45" i="1" s="1"/>
  <c r="P45" i="1" s="1"/>
  <c r="B45" i="1"/>
  <c r="O41" i="1"/>
  <c r="J41" i="1"/>
  <c r="I41" i="1"/>
  <c r="F41" i="1"/>
  <c r="E41" i="1"/>
  <c r="H41" i="1" s="1"/>
  <c r="B41" i="1"/>
  <c r="O38" i="1"/>
  <c r="J38" i="1"/>
  <c r="I38" i="1"/>
  <c r="F38" i="1"/>
  <c r="E38" i="1"/>
  <c r="H38" i="1" s="1"/>
  <c r="B38" i="1"/>
  <c r="O37" i="1"/>
  <c r="J37" i="1"/>
  <c r="I37" i="1"/>
  <c r="F37" i="1"/>
  <c r="E37" i="1"/>
  <c r="H37" i="1" s="1"/>
  <c r="B37" i="1"/>
  <c r="O26" i="1"/>
  <c r="J26" i="1"/>
  <c r="I26" i="1"/>
  <c r="F26" i="1"/>
  <c r="E26" i="1"/>
  <c r="H26" i="1" s="1"/>
  <c r="B26" i="1"/>
  <c r="O25" i="1"/>
  <c r="J25" i="1"/>
  <c r="I25" i="1"/>
  <c r="F25" i="1"/>
  <c r="E25" i="1"/>
  <c r="H25" i="1" s="1"/>
  <c r="B25" i="1"/>
  <c r="O10" i="1"/>
  <c r="J10" i="1"/>
  <c r="I10" i="1"/>
  <c r="F10" i="1"/>
  <c r="E10" i="1"/>
  <c r="H10" i="1" s="1"/>
  <c r="B10" i="1"/>
  <c r="O35" i="1"/>
  <c r="Q35" i="1" s="1"/>
  <c r="J35" i="1"/>
  <c r="I35" i="1"/>
  <c r="F35" i="1"/>
  <c r="E35" i="1"/>
  <c r="H35" i="1" s="1"/>
  <c r="B35" i="1"/>
  <c r="O8" i="1"/>
  <c r="J8" i="1"/>
  <c r="I8" i="1"/>
  <c r="F8" i="1"/>
  <c r="E8" i="1"/>
  <c r="H8" i="1" s="1"/>
  <c r="B8" i="1"/>
  <c r="O34" i="1"/>
  <c r="J34" i="1"/>
  <c r="I34" i="1"/>
  <c r="F34" i="1"/>
  <c r="E34" i="1"/>
  <c r="H34" i="1" s="1"/>
  <c r="N34" i="1" s="1"/>
  <c r="P34" i="1" s="1"/>
  <c r="B34" i="1"/>
  <c r="O44" i="1"/>
  <c r="J44" i="1"/>
  <c r="I44" i="1"/>
  <c r="H44" i="1"/>
  <c r="F44" i="1"/>
  <c r="N44" i="1" s="1"/>
  <c r="P44" i="1" s="1"/>
  <c r="B44" i="1"/>
  <c r="O32" i="1"/>
  <c r="Q32" i="1" s="1"/>
  <c r="J32" i="1"/>
  <c r="I32" i="1"/>
  <c r="H32" i="1"/>
  <c r="F32" i="1"/>
  <c r="N32" i="1" s="1"/>
  <c r="P32" i="1" s="1"/>
  <c r="B32" i="1"/>
  <c r="O49" i="1"/>
  <c r="J49" i="1"/>
  <c r="I49" i="1"/>
  <c r="H49" i="1"/>
  <c r="F49" i="1"/>
  <c r="N49" i="1" s="1"/>
  <c r="P49" i="1" s="1"/>
  <c r="B49" i="1"/>
  <c r="O31" i="1"/>
  <c r="Q31" i="1" s="1"/>
  <c r="J31" i="1"/>
  <c r="I31" i="1"/>
  <c r="H31" i="1"/>
  <c r="F31" i="1"/>
  <c r="N31" i="1" s="1"/>
  <c r="P31" i="1" s="1"/>
  <c r="B31" i="1"/>
  <c r="O30" i="1"/>
  <c r="J30" i="1"/>
  <c r="I30" i="1"/>
  <c r="F30" i="1"/>
  <c r="N30" i="1" s="1"/>
  <c r="P30" i="1" s="1"/>
  <c r="B30" i="1"/>
  <c r="O29" i="1"/>
  <c r="J29" i="1"/>
  <c r="I29" i="1"/>
  <c r="F29" i="1"/>
  <c r="B29" i="1"/>
  <c r="O28" i="1"/>
  <c r="J28" i="1"/>
  <c r="I28" i="1"/>
  <c r="F28" i="1"/>
  <c r="B28" i="1"/>
  <c r="O42" i="1"/>
  <c r="J42" i="1"/>
  <c r="I42" i="1"/>
  <c r="H42" i="1"/>
  <c r="F42" i="1"/>
  <c r="E42" i="1"/>
  <c r="B42" i="1"/>
  <c r="O27" i="1"/>
  <c r="Q27" i="1" s="1"/>
  <c r="J27" i="1"/>
  <c r="I27" i="1"/>
  <c r="F27" i="1"/>
  <c r="E27" i="1"/>
  <c r="H27" i="1" s="1"/>
  <c r="B27" i="1"/>
  <c r="O23" i="1"/>
  <c r="Q23" i="1" s="1"/>
  <c r="J23" i="1"/>
  <c r="I23" i="1"/>
  <c r="F23" i="1"/>
  <c r="E23" i="1"/>
  <c r="H23" i="1" s="1"/>
  <c r="B23" i="1"/>
  <c r="O43" i="1"/>
  <c r="J43" i="1"/>
  <c r="H43" i="1"/>
  <c r="F43" i="1"/>
  <c r="B43" i="1"/>
  <c r="O36" i="1"/>
  <c r="J36" i="1"/>
  <c r="H36" i="1"/>
  <c r="N36" i="1" s="1"/>
  <c r="P36" i="1" s="1"/>
  <c r="F36" i="1"/>
  <c r="B36" i="1"/>
  <c r="O9" i="1"/>
  <c r="J9" i="1"/>
  <c r="H9" i="1"/>
  <c r="F9" i="1"/>
  <c r="B9" i="1"/>
  <c r="O54" i="1"/>
  <c r="J54" i="1"/>
  <c r="I54" i="1"/>
  <c r="H54" i="1"/>
  <c r="F54" i="1"/>
  <c r="N54" i="1" s="1"/>
  <c r="P54" i="1" s="1"/>
  <c r="B54" i="1"/>
  <c r="O51" i="1"/>
  <c r="Q51" i="1" s="1"/>
  <c r="J51" i="1"/>
  <c r="I51" i="1"/>
  <c r="H51" i="1"/>
  <c r="F51" i="1"/>
  <c r="B51" i="1"/>
  <c r="O22" i="1"/>
  <c r="J22" i="1"/>
  <c r="I22" i="1"/>
  <c r="H22" i="1"/>
  <c r="F22" i="1"/>
  <c r="B22" i="1"/>
  <c r="O39" i="1"/>
  <c r="Q39" i="1" s="1"/>
  <c r="J39" i="1"/>
  <c r="I39" i="1"/>
  <c r="F39" i="1"/>
  <c r="E39" i="1"/>
  <c r="H39" i="1" s="1"/>
  <c r="B39" i="1"/>
  <c r="O33" i="1"/>
  <c r="Q33" i="1" s="1"/>
  <c r="J33" i="1"/>
  <c r="I33" i="1"/>
  <c r="F33" i="1"/>
  <c r="E33" i="1"/>
  <c r="H33" i="1" s="1"/>
  <c r="B33" i="1"/>
  <c r="O21" i="1"/>
  <c r="Q21" i="1" s="1"/>
  <c r="J21" i="1"/>
  <c r="I21" i="1"/>
  <c r="F21" i="1"/>
  <c r="E21" i="1"/>
  <c r="H21" i="1" s="1"/>
  <c r="B21" i="1"/>
  <c r="O7" i="1"/>
  <c r="Q7" i="1" s="1"/>
  <c r="J7" i="1"/>
  <c r="I7" i="1"/>
  <c r="F7" i="1"/>
  <c r="E7" i="1"/>
  <c r="H7" i="1" s="1"/>
  <c r="B7" i="1"/>
  <c r="O20" i="1"/>
  <c r="Q20" i="1" s="1"/>
  <c r="J20" i="1"/>
  <c r="I20" i="1"/>
  <c r="H20" i="1"/>
  <c r="F20" i="1"/>
  <c r="B20" i="1"/>
  <c r="O40" i="1"/>
  <c r="Q40" i="1" s="1"/>
  <c r="J40" i="1"/>
  <c r="I40" i="1"/>
  <c r="F40" i="1"/>
  <c r="E40" i="1"/>
  <c r="H40" i="1" s="1"/>
  <c r="B40" i="1"/>
  <c r="O24" i="1"/>
  <c r="J24" i="1"/>
  <c r="I24" i="1"/>
  <c r="F24" i="1"/>
  <c r="E24" i="1"/>
  <c r="H24" i="1" s="1"/>
  <c r="B24" i="1"/>
  <c r="O19" i="1"/>
  <c r="Q19" i="1" s="1"/>
  <c r="J19" i="1"/>
  <c r="I19" i="1"/>
  <c r="F19" i="1"/>
  <c r="E19" i="1"/>
  <c r="H19" i="1" s="1"/>
  <c r="N19" i="1" s="1"/>
  <c r="P19" i="1" s="1"/>
  <c r="B19" i="1"/>
  <c r="O18" i="1"/>
  <c r="J18" i="1"/>
  <c r="I18" i="1"/>
  <c r="H18" i="1"/>
  <c r="F18" i="1"/>
  <c r="E18" i="1"/>
  <c r="B18" i="1"/>
  <c r="O17" i="1"/>
  <c r="J17" i="1"/>
  <c r="I17" i="1"/>
  <c r="F17" i="1"/>
  <c r="E17" i="1"/>
  <c r="H17" i="1" s="1"/>
  <c r="B17" i="1"/>
  <c r="O16" i="1"/>
  <c r="J16" i="1"/>
  <c r="I16" i="1"/>
  <c r="F16" i="1"/>
  <c r="E16" i="1"/>
  <c r="H16" i="1" s="1"/>
  <c r="B16" i="1"/>
  <c r="O53" i="1"/>
  <c r="J53" i="1"/>
  <c r="H53" i="1"/>
  <c r="F53" i="1"/>
  <c r="B53" i="1"/>
  <c r="O50" i="1"/>
  <c r="J50" i="1"/>
  <c r="H50" i="1"/>
  <c r="F50" i="1"/>
  <c r="B50" i="1"/>
  <c r="O15" i="1"/>
  <c r="J15" i="1"/>
  <c r="H15" i="1"/>
  <c r="F15" i="1"/>
  <c r="B15" i="1"/>
  <c r="O14" i="1"/>
  <c r="J14" i="1"/>
  <c r="I14" i="1"/>
  <c r="F14" i="1"/>
  <c r="E14" i="1"/>
  <c r="H14" i="1" s="1"/>
  <c r="B14" i="1"/>
  <c r="O13" i="1"/>
  <c r="Q13" i="1" s="1"/>
  <c r="I13" i="1"/>
  <c r="F13" i="1"/>
  <c r="E13" i="1"/>
  <c r="H13" i="1" s="1"/>
  <c r="B13" i="1"/>
  <c r="O12" i="1"/>
  <c r="Q12" i="1" s="1"/>
  <c r="J12" i="1"/>
  <c r="I12" i="1"/>
  <c r="F12" i="1"/>
  <c r="E12" i="1"/>
  <c r="H12" i="1" s="1"/>
  <c r="B12" i="1"/>
  <c r="O11" i="1"/>
  <c r="Q11" i="1" s="1"/>
  <c r="J11" i="1"/>
  <c r="I11" i="1"/>
  <c r="F11" i="1"/>
  <c r="E11" i="1"/>
  <c r="H11" i="1" s="1"/>
  <c r="B11" i="1"/>
  <c r="Q14" i="1"/>
  <c r="Q15" i="1"/>
  <c r="Q50" i="1"/>
  <c r="Q53" i="1"/>
  <c r="Q16" i="1"/>
  <c r="Q17" i="1"/>
  <c r="Q18" i="1"/>
  <c r="Q24" i="1"/>
  <c r="Q22" i="1"/>
  <c r="Q54" i="1"/>
  <c r="Q9" i="1"/>
  <c r="Q36" i="1"/>
  <c r="Q43" i="1"/>
  <c r="Q42" i="1"/>
  <c r="Q28" i="1"/>
  <c r="Q29" i="1"/>
  <c r="Q30" i="1"/>
  <c r="Q49" i="1"/>
  <c r="Q44" i="1"/>
  <c r="Q34" i="1"/>
  <c r="Q8" i="1"/>
  <c r="Q10" i="1"/>
  <c r="Q25" i="1"/>
  <c r="Q26" i="1"/>
  <c r="Q37" i="1"/>
  <c r="Q38" i="1"/>
  <c r="Q41" i="1"/>
  <c r="Q45" i="1"/>
  <c r="Q46" i="1"/>
  <c r="Q47" i="1"/>
  <c r="Q48" i="1"/>
  <c r="Q52" i="1"/>
  <c r="Q55" i="1"/>
  <c r="N18" i="1" l="1"/>
  <c r="P18" i="1" s="1"/>
  <c r="N14" i="1"/>
  <c r="P14" i="1" s="1"/>
  <c r="N11" i="1"/>
  <c r="P11" i="1" s="1"/>
  <c r="N50" i="1"/>
  <c r="P50" i="1" s="1"/>
  <c r="N10" i="1"/>
  <c r="P10" i="1" s="1"/>
  <c r="N37" i="1"/>
  <c r="P37" i="1" s="1"/>
  <c r="N15" i="1"/>
  <c r="P15" i="1" s="1"/>
  <c r="N29" i="1"/>
  <c r="P29" i="1" s="1"/>
  <c r="N48" i="1"/>
  <c r="P48" i="1" s="1"/>
  <c r="N42" i="1"/>
  <c r="P42" i="1" s="1"/>
  <c r="N28" i="1"/>
  <c r="P28" i="1" s="1"/>
  <c r="N43" i="1"/>
  <c r="P43" i="1" s="1"/>
  <c r="N53" i="1"/>
  <c r="P53" i="1" s="1"/>
  <c r="N9" i="1"/>
  <c r="P9" i="1" s="1"/>
  <c r="N40" i="1"/>
  <c r="P40" i="1" s="1"/>
  <c r="N52" i="1"/>
  <c r="P52" i="1" s="1"/>
  <c r="N12" i="1"/>
  <c r="P12" i="1" s="1"/>
  <c r="N20" i="1"/>
  <c r="P20" i="1" s="1"/>
  <c r="N46" i="1"/>
  <c r="P46" i="1" s="1"/>
  <c r="N16" i="1"/>
  <c r="P16" i="1" s="1"/>
  <c r="N7" i="1"/>
  <c r="P7" i="1" s="1"/>
  <c r="N39" i="1"/>
  <c r="P39" i="1" s="1"/>
  <c r="N22" i="1"/>
  <c r="P22" i="1" s="1"/>
  <c r="J13" i="1"/>
  <c r="N13" i="1" s="1"/>
  <c r="P13" i="1" s="1"/>
  <c r="N51" i="1"/>
  <c r="P51" i="1" s="1"/>
  <c r="N23" i="1"/>
  <c r="P23" i="1" s="1"/>
  <c r="N21" i="1"/>
  <c r="P21" i="1" s="1"/>
  <c r="N33" i="1"/>
  <c r="P33" i="1" s="1"/>
  <c r="N8" i="1"/>
  <c r="P8" i="1" s="1"/>
  <c r="N35" i="1"/>
  <c r="P35" i="1" s="1"/>
  <c r="N17" i="1"/>
  <c r="P17" i="1" s="1"/>
  <c r="N47" i="1"/>
  <c r="P47" i="1" s="1"/>
  <c r="N27" i="1"/>
  <c r="P27" i="1" s="1"/>
  <c r="N25" i="1"/>
  <c r="P25" i="1" s="1"/>
  <c r="N26" i="1"/>
  <c r="P26" i="1" s="1"/>
  <c r="N24" i="1"/>
  <c r="P24" i="1" s="1"/>
  <c r="N38" i="1"/>
  <c r="P38" i="1" s="1"/>
  <c r="N41" i="1"/>
  <c r="P41" i="1" s="1"/>
  <c r="N55" i="1"/>
  <c r="P55" i="1" s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<sst xmlns="http://schemas.openxmlformats.org/spreadsheetml/2006/main" count="68" uniqueCount="68">
  <si>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</si>
  <si>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</si>
  <si>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</si>
  <si>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</si>
  <si>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</si>
  <si>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</si>
  <si>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</si>
  <si>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</si>
  <si>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</si>
  <si>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</si>
  <si>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</si>
  <si>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</si>
  <si>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</si>
  <si>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</si>
  <si>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</si>
  <si>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</si>
  <si>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</si>
  <si>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</si>
  <si>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025</t>
  </si>
  <si>
    <t>044</t>
  </si>
  <si>
    <t>045</t>
  </si>
  <si>
    <t>215</t>
  </si>
  <si>
    <t>058</t>
  </si>
  <si>
    <t>258</t>
  </si>
  <si>
    <t>075</t>
  </si>
  <si>
    <t>055</t>
  </si>
  <si>
    <t>038</t>
  </si>
  <si>
    <t>056</t>
  </si>
  <si>
    <t>Para el cálculo de la biomasa arbórea y la fijación del carbono (kg) se deben introducir en la siguiente tabla los distintos diámetros (cm) y alturas (m) de las especies presentes en la provincia.</t>
  </si>
  <si>
    <t>051</t>
  </si>
  <si>
    <t>395</t>
  </si>
  <si>
    <t>023</t>
  </si>
  <si>
    <t>024</t>
  </si>
  <si>
    <t>039</t>
  </si>
  <si>
    <t>237</t>
  </si>
  <si>
    <t>021</t>
  </si>
  <si>
    <t>037</t>
  </si>
  <si>
    <t>011</t>
  </si>
  <si>
    <t>036</t>
  </si>
  <si>
    <t>066</t>
  </si>
  <si>
    <t>008</t>
  </si>
  <si>
    <t>013</t>
  </si>
  <si>
    <t>026</t>
  </si>
  <si>
    <t>053</t>
  </si>
  <si>
    <t>068</t>
  </si>
  <si>
    <t>095</t>
  </si>
  <si>
    <t>255</t>
  </si>
  <si>
    <t>278</t>
  </si>
  <si>
    <t>357</t>
  </si>
  <si>
    <t>476</t>
  </si>
  <si>
    <t>757</t>
  </si>
  <si>
    <t>626</t>
  </si>
  <si>
    <t>926</t>
  </si>
  <si>
    <t>046</t>
  </si>
  <si>
    <t>646</t>
  </si>
  <si>
    <t>946</t>
  </si>
  <si>
    <t>094</t>
  </si>
  <si>
    <t>061</t>
  </si>
  <si>
    <t>062</t>
  </si>
  <si>
    <t>063</t>
  </si>
  <si>
    <t>067</t>
  </si>
  <si>
    <t>299</t>
  </si>
  <si>
    <t>079</t>
  </si>
  <si>
    <t>016</t>
  </si>
  <si>
    <t>099</t>
  </si>
  <si>
    <t>355</t>
  </si>
  <si>
    <t>457</t>
  </si>
  <si>
    <t>957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</si>
</sst>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  <xf numFmtId="0" fontId="0" fillId="5" borderId="1" xfId="0" applyFill="1" applyBorder="1"/>
    <xf numFmtId="4" fontId="0" fillId="5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ARTIDO/IFN4/Sig/P46/C&#193;LCULOS/Documentaci&#243;n%20auxiliar%20del%20p.d/CAMBIO%20ESP%20BM_P46-409_ECUACIONES%20BIOMASA%20ESPA&#209;A_Ago2018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pecies-ecuaciones aplicables"/>
      <sheetName val="Ecuaciones biomasa (no tocar)"/>
      <sheetName val="Ecuaciones biomasa_para 46-409"/>
      <sheetName val="Ecs Montero et al Canarias"/>
      <sheetName val="CambioEspecieBM_P46"/>
      <sheetName val="DesEspArbolada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id</v>
          </cell>
          <cell r="B1" t="str">
            <v>descr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>Quercus ilex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Eucalyptus spp.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Otras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084</v>
          </cell>
          <cell r="B78" t="str">
            <v>Persea indica</v>
          </cell>
        </row>
        <row r="79">
          <cell r="A79" t="str">
            <v>085</v>
          </cell>
          <cell r="B79" t="str">
            <v>Sideroxylon marmulano</v>
          </cell>
        </row>
        <row r="80">
          <cell r="A80" t="str">
            <v>086</v>
          </cell>
          <cell r="B80" t="str">
            <v>Picconia excelsa</v>
          </cell>
        </row>
        <row r="81">
          <cell r="A81" t="str">
            <v>087</v>
          </cell>
          <cell r="B81" t="str">
            <v>Ocotea phoetens</v>
          </cell>
        </row>
        <row r="82">
          <cell r="A82" t="str">
            <v>088</v>
          </cell>
          <cell r="B82" t="str">
            <v>Apollonias barbujana</v>
          </cell>
        </row>
        <row r="83">
          <cell r="A83" t="str">
            <v>089</v>
          </cell>
          <cell r="B83" t="str">
            <v>Otras laurisilvas</v>
          </cell>
        </row>
        <row r="84">
          <cell r="A84" t="str">
            <v>090</v>
          </cell>
          <cell r="B84" t="str">
            <v>Otras frondosas de pequeño porte</v>
          </cell>
        </row>
        <row r="85">
          <cell r="A85" t="str">
            <v>092</v>
          </cell>
          <cell r="B85" t="str">
            <v>Robinia pseudoacacia</v>
          </cell>
        </row>
        <row r="86">
          <cell r="A86" t="str">
            <v>094</v>
          </cell>
          <cell r="B86" t="str">
            <v>Laurus nobilis</v>
          </cell>
        </row>
        <row r="87">
          <cell r="A87" t="str">
            <v>095</v>
          </cell>
          <cell r="B87" t="str">
            <v>Prunus spp.</v>
          </cell>
        </row>
        <row r="88">
          <cell r="A88" t="str">
            <v>096</v>
          </cell>
          <cell r="B88" t="str">
            <v>Rhus coriaria</v>
          </cell>
        </row>
        <row r="89">
          <cell r="A89" t="str">
            <v>097</v>
          </cell>
          <cell r="B89" t="str">
            <v>Sambucus nigra</v>
          </cell>
        </row>
        <row r="90">
          <cell r="A90" t="str">
            <v>098</v>
          </cell>
          <cell r="B90" t="str">
            <v>Carpinus betulus</v>
          </cell>
        </row>
        <row r="91">
          <cell r="A91" t="str">
            <v>099</v>
          </cell>
          <cell r="B91" t="str">
            <v>Otras frondosas</v>
          </cell>
        </row>
        <row r="92">
          <cell r="A92" t="str">
            <v>207</v>
          </cell>
          <cell r="B92" t="str">
            <v>Acacia melanoxylon</v>
          </cell>
        </row>
        <row r="93">
          <cell r="A93" t="str">
            <v>215</v>
          </cell>
          <cell r="B93" t="str">
            <v>Crataegus monogyna</v>
          </cell>
        </row>
        <row r="94">
          <cell r="A94" t="str">
            <v>217</v>
          </cell>
          <cell r="B94" t="str">
            <v>Cedrus deodara</v>
          </cell>
        </row>
        <row r="95">
          <cell r="A95" t="str">
            <v>219</v>
          </cell>
          <cell r="B95" t="str">
            <v>Tetraclinis articulata</v>
          </cell>
        </row>
        <row r="96">
          <cell r="A96" t="str">
            <v>229</v>
          </cell>
          <cell r="B96" t="str">
            <v>Pinus banksiana</v>
          </cell>
        </row>
        <row r="97">
          <cell r="A97" t="str">
            <v>230</v>
          </cell>
          <cell r="B97" t="str">
            <v>Pinus strobus</v>
          </cell>
        </row>
        <row r="98">
          <cell r="A98" t="str">
            <v>235</v>
          </cell>
          <cell r="B98" t="str">
            <v>Larix decidua</v>
          </cell>
        </row>
        <row r="99">
          <cell r="A99" t="str">
            <v>236</v>
          </cell>
          <cell r="B99" t="str">
            <v>Cupressus arizonica</v>
          </cell>
        </row>
        <row r="100">
          <cell r="A100" t="str">
            <v>237</v>
          </cell>
          <cell r="B100" t="str">
            <v>Juniperus oxycedrus</v>
          </cell>
        </row>
        <row r="101">
          <cell r="A101" t="str">
            <v>238</v>
          </cell>
          <cell r="B101" t="str">
            <v>Juniperus turbinata</v>
          </cell>
        </row>
        <row r="102">
          <cell r="A102" t="str">
            <v>243</v>
          </cell>
          <cell r="B102" t="str">
            <v>Quercus pubescens</v>
          </cell>
        </row>
        <row r="103">
          <cell r="A103" t="str">
            <v>244</v>
          </cell>
          <cell r="B103" t="str">
            <v>Quercus lusitanica</v>
          </cell>
        </row>
        <row r="104">
          <cell r="A104" t="str">
            <v>245</v>
          </cell>
          <cell r="B104" t="str">
            <v>Quercus ilex ssp. ilex</v>
          </cell>
        </row>
        <row r="105">
          <cell r="A105" t="str">
            <v>253</v>
          </cell>
          <cell r="B105" t="str">
            <v>Tamarix canariensis</v>
          </cell>
        </row>
        <row r="106">
          <cell r="A106" t="str">
            <v>255</v>
          </cell>
          <cell r="B106" t="str">
            <v>Fraxinus excelsior</v>
          </cell>
        </row>
        <row r="107">
          <cell r="A107" t="str">
            <v>256</v>
          </cell>
          <cell r="B107" t="str">
            <v>Ulmus glabra</v>
          </cell>
        </row>
        <row r="108">
          <cell r="A108" t="str">
            <v>257</v>
          </cell>
          <cell r="B108" t="str">
            <v>Salix alba</v>
          </cell>
        </row>
        <row r="109">
          <cell r="A109" t="str">
            <v>258</v>
          </cell>
          <cell r="B109" t="str">
            <v>Populus x canadensis</v>
          </cell>
        </row>
        <row r="110">
          <cell r="A110" t="str">
            <v>264</v>
          </cell>
          <cell r="B110" t="str">
            <v>Eucalyptus viminalis</v>
          </cell>
        </row>
        <row r="111">
          <cell r="A111" t="str">
            <v>268</v>
          </cell>
          <cell r="B111" t="str">
            <v>Arbutus canariensis</v>
          </cell>
        </row>
        <row r="112">
          <cell r="A112" t="str">
            <v>273</v>
          </cell>
          <cell r="B112" t="str">
            <v>Betula alba</v>
          </cell>
        </row>
        <row r="113">
          <cell r="A113" t="str">
            <v>275</v>
          </cell>
          <cell r="B113" t="str">
            <v>Juglans nigra</v>
          </cell>
        </row>
        <row r="114">
          <cell r="A114" t="str">
            <v>276</v>
          </cell>
          <cell r="B114" t="str">
            <v>Acer monspessulanum</v>
          </cell>
        </row>
        <row r="115">
          <cell r="A115" t="str">
            <v>277</v>
          </cell>
          <cell r="B115" t="str">
            <v>Tilia cordata</v>
          </cell>
        </row>
        <row r="116">
          <cell r="A116" t="str">
            <v>278</v>
          </cell>
          <cell r="B116" t="str">
            <v>Sorbus aria</v>
          </cell>
        </row>
        <row r="117">
          <cell r="A117" t="str">
            <v>279</v>
          </cell>
          <cell r="B117" t="str">
            <v>Platanus orientalis</v>
          </cell>
        </row>
        <row r="118">
          <cell r="A118" t="str">
            <v>281</v>
          </cell>
          <cell r="B118" t="str">
            <v>Myrica rivas-martinezii</v>
          </cell>
        </row>
        <row r="119">
          <cell r="A119" t="str">
            <v>282</v>
          </cell>
          <cell r="B119" t="str">
            <v>Ilex platyphylla</v>
          </cell>
        </row>
        <row r="120">
          <cell r="A120" t="str">
            <v>289</v>
          </cell>
          <cell r="B120" t="str">
            <v>Pleiomeris canariensis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laciniata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 t="str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mocarena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526</v>
          </cell>
          <cell r="B159" t="str">
            <v>Pinus pinaster resinado</v>
          </cell>
        </row>
        <row r="160">
          <cell r="A160" t="str">
            <v>557</v>
          </cell>
          <cell r="B160" t="str">
            <v>Salix cantabrica</v>
          </cell>
        </row>
        <row r="161">
          <cell r="A161" t="str">
            <v>569</v>
          </cell>
          <cell r="B161" t="str">
            <v>Dracaena draco</v>
          </cell>
        </row>
        <row r="162">
          <cell r="A162" t="str">
            <v>576</v>
          </cell>
          <cell r="B162" t="str">
            <v>Acer pseudoplatanus</v>
          </cell>
        </row>
        <row r="163">
          <cell r="A163" t="str">
            <v>578</v>
          </cell>
          <cell r="B163" t="str">
            <v>Sorbus torminalis</v>
          </cell>
        </row>
        <row r="164">
          <cell r="A164" t="str">
            <v>595</v>
          </cell>
          <cell r="B164" t="str">
            <v>Prunus padus</v>
          </cell>
        </row>
        <row r="165">
          <cell r="A165" t="str">
            <v>599</v>
          </cell>
          <cell r="B165" t="str">
            <v>Morus nigra</v>
          </cell>
        </row>
        <row r="166">
          <cell r="A166" t="str">
            <v>626</v>
          </cell>
          <cell r="B166" t="str">
            <v>Pinus pinaster sin resinar</v>
          </cell>
        </row>
        <row r="167">
          <cell r="A167" t="str">
            <v>646</v>
          </cell>
          <cell r="B167" t="str">
            <v>Quercus suber bornizo</v>
          </cell>
        </row>
        <row r="168">
          <cell r="A168" t="str">
            <v>657</v>
          </cell>
          <cell r="B168" t="str">
            <v>Salix caprea</v>
          </cell>
        </row>
        <row r="169">
          <cell r="A169" t="str">
            <v>676</v>
          </cell>
          <cell r="B169" t="str">
            <v>Acer platanoides</v>
          </cell>
        </row>
        <row r="170">
          <cell r="A170" t="str">
            <v>678</v>
          </cell>
          <cell r="B170" t="str">
            <v>Sorbus latifolia</v>
          </cell>
        </row>
        <row r="171">
          <cell r="A171" t="str">
            <v>726</v>
          </cell>
          <cell r="B171" t="str">
            <v>Pinus pinaster resinado por método Hugues</v>
          </cell>
        </row>
        <row r="172">
          <cell r="A172" t="str">
            <v>746</v>
          </cell>
          <cell r="B172" t="str">
            <v>Quercus suber descorchado solo en tronco</v>
          </cell>
        </row>
        <row r="173">
          <cell r="A173" t="str">
            <v>757</v>
          </cell>
          <cell r="B173" t="str">
            <v>Salix elaeagnos</v>
          </cell>
        </row>
        <row r="174">
          <cell r="A174" t="str">
            <v>776</v>
          </cell>
          <cell r="B174" t="str">
            <v>Acer spp.</v>
          </cell>
        </row>
        <row r="175">
          <cell r="A175" t="str">
            <v>778</v>
          </cell>
          <cell r="B175" t="str">
            <v>Sorbus chamaemespilus</v>
          </cell>
        </row>
        <row r="176">
          <cell r="A176" t="str">
            <v>826</v>
          </cell>
          <cell r="B176" t="str">
            <v>Pinus pinaster resinado por otros métodos distintos a Hugues</v>
          </cell>
        </row>
        <row r="177">
          <cell r="A177" t="str">
            <v>846</v>
          </cell>
          <cell r="B177" t="str">
            <v>Quercus suber descorchado en tronco y ramas</v>
          </cell>
        </row>
        <row r="178">
          <cell r="A178" t="str">
            <v>857</v>
          </cell>
          <cell r="B178" t="str">
            <v>Salix fragilis</v>
          </cell>
        </row>
        <row r="179">
          <cell r="A179" t="str">
            <v>858</v>
          </cell>
          <cell r="B179" t="str">
            <v>Salix canariensis</v>
          </cell>
        </row>
        <row r="180">
          <cell r="A180" t="str">
            <v>926</v>
          </cell>
          <cell r="B180" t="str">
            <v>Pinus pinaster anteriormente resinado</v>
          </cell>
        </row>
        <row r="181">
          <cell r="A181" t="str">
            <v>946</v>
          </cell>
          <cell r="B181" t="str">
            <v>Quercus suber descorchado anteriormente</v>
          </cell>
        </row>
        <row r="182">
          <cell r="A182" t="str">
            <v>957</v>
          </cell>
          <cell r="B182" t="str">
            <v>Salix purpurea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5"/>
  <sheetViews>
    <sheetView tabSelected="1" workbookViewId="0">
      <selection activeCell="S12" sqref="S12"/>
    </sheetView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28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40</v>
      </c>
      <c r="B7" s="11" t="str">
        <f>VLOOKUP(A7,[1]DesEspArbolada!A$1:B$65536,2,0)</f>
        <v>Phillyrea latifolia</v>
      </c>
      <c r="C7" s="12">
        <v>40</v>
      </c>
      <c r="D7" s="12">
        <v>10</v>
      </c>
      <c r="E7" s="15">
        <f>IF(C7&gt;12.5,1,0)</f>
        <v>1</v>
      </c>
      <c r="F7" s="16">
        <f>0.143*POWER(C7,2)</f>
        <v>228.79999999999998</v>
      </c>
      <c r="G7" s="16"/>
      <c r="H7" s="16">
        <f>(0.0684*POWER((C7-12.5),2)*D7)*E7</f>
        <v>517.27499999999998</v>
      </c>
      <c r="I7" s="16">
        <f>0.0898*POWER(C7,2)</f>
        <v>143.68</v>
      </c>
      <c r="J7" s="16">
        <f>0.0823*POWER(C7,2)</f>
        <v>131.68</v>
      </c>
      <c r="K7" s="16"/>
      <c r="L7" s="16"/>
      <c r="M7" s="16"/>
      <c r="N7" s="16">
        <f>F7+G7+H7+I7+J7+K7+L7</f>
        <v>1021.4349999999999</v>
      </c>
      <c r="O7" s="16">
        <f>0.254*POWER(C7,2)</f>
        <v>406.4</v>
      </c>
      <c r="P7" s="13">
        <f>N7/2</f>
        <v>510.71749999999997</v>
      </c>
      <c r="Q7" s="13">
        <f>O7/2</f>
        <v>203.2</v>
      </c>
    </row>
    <row r="8" spans="1:17" x14ac:dyDescent="0.2">
      <c r="A8" s="10" t="s">
        <v>37</v>
      </c>
      <c r="B8" s="11" t="str">
        <f>VLOOKUP(A8,[1]DesEspArbolada!A$1:B$65536,2,0)</f>
        <v>Ailanthus altissima</v>
      </c>
      <c r="C8" s="12">
        <v>40</v>
      </c>
      <c r="D8" s="12">
        <v>10</v>
      </c>
      <c r="E8" s="15">
        <f>IF(C8&gt;12.5,1,0)</f>
        <v>1</v>
      </c>
      <c r="F8" s="16">
        <f>0.0142*POWER(C8,2)*D8</f>
        <v>227.20000000000002</v>
      </c>
      <c r="G8" s="16"/>
      <c r="H8" s="16">
        <f>0.223*POWER((C8-12.5),2)*E8</f>
        <v>168.64375000000001</v>
      </c>
      <c r="I8" s="16">
        <f>0.23*C8*D8</f>
        <v>92.000000000000014</v>
      </c>
      <c r="J8" s="16">
        <f>0.221*C8*D8</f>
        <v>88.4</v>
      </c>
      <c r="K8" s="16"/>
      <c r="L8" s="16"/>
      <c r="M8" s="16"/>
      <c r="N8" s="16">
        <f>F8+G8+H8+I8+J8+K8+L8</f>
        <v>576.24374999999998</v>
      </c>
      <c r="O8" s="16">
        <f>0.0211*POWER(C8,2.804)</f>
        <v>655.32791951357524</v>
      </c>
      <c r="P8" s="13">
        <f>N8/2</f>
        <v>288.12187499999999</v>
      </c>
      <c r="Q8" s="13">
        <f>O8/2</f>
        <v>327.66395975678762</v>
      </c>
    </row>
    <row r="9" spans="1:17" x14ac:dyDescent="0.2">
      <c r="A9" s="10" t="s">
        <v>41</v>
      </c>
      <c r="B9" s="11" t="str">
        <f>VLOOKUP(A9,[1]DesEspArbolada!A$1:B$65536,2,0)</f>
        <v>Celtis australis</v>
      </c>
      <c r="C9" s="12">
        <v>40</v>
      </c>
      <c r="D9" s="12">
        <v>10</v>
      </c>
      <c r="E9" s="15"/>
      <c r="F9" s="16">
        <f>0.0191*POWER(C9,2)*D9</f>
        <v>305.59999999999997</v>
      </c>
      <c r="G9" s="16"/>
      <c r="H9" s="16">
        <f>0.0512*POWER(C9,2)</f>
        <v>81.92</v>
      </c>
      <c r="I9" s="16"/>
      <c r="J9" s="16">
        <f>0.0567*C9*D9</f>
        <v>22.68</v>
      </c>
      <c r="K9" s="16"/>
      <c r="L9" s="16"/>
      <c r="M9" s="16"/>
      <c r="N9" s="16">
        <f>F9+G9+H9+I9+J9+K9+L9</f>
        <v>410.2</v>
      </c>
      <c r="O9" s="16">
        <f>0.214*POWER(C9,2)</f>
        <v>342.4</v>
      </c>
      <c r="P9" s="13">
        <f>N9/2</f>
        <v>205.1</v>
      </c>
      <c r="Q9" s="13">
        <f>O9/2</f>
        <v>171.2</v>
      </c>
    </row>
    <row r="10" spans="1:17" x14ac:dyDescent="0.2">
      <c r="A10" s="10" t="s">
        <v>63</v>
      </c>
      <c r="B10" s="11" t="str">
        <f>VLOOKUP(A10,[1]DesEspArbolada!A$1:B$65536,2,0)</f>
        <v>Pyrus spp.</v>
      </c>
      <c r="C10" s="12">
        <v>40</v>
      </c>
      <c r="D10" s="12">
        <v>10</v>
      </c>
      <c r="E10" s="15">
        <f>IF(C10&gt;12.5,1,0)</f>
        <v>1</v>
      </c>
      <c r="F10" s="16">
        <f>0.0296*POWER(C10,2)*D10</f>
        <v>473.6</v>
      </c>
      <c r="G10" s="16"/>
      <c r="H10" s="16">
        <f>0.231*POWER((C10-12.5),2)*E10</f>
        <v>174.69374999999999</v>
      </c>
      <c r="I10" s="16">
        <f>0.0925*POWER(C10,2)</f>
        <v>148</v>
      </c>
      <c r="J10" s="16">
        <f>2.005*C10</f>
        <v>80.199999999999989</v>
      </c>
      <c r="K10" s="16"/>
      <c r="L10" s="16"/>
      <c r="M10" s="16"/>
      <c r="N10" s="16">
        <f>F10+G10+H10+I10+J10+K10+L10</f>
        <v>876.49375000000009</v>
      </c>
      <c r="O10" s="16">
        <f>0.359*POWER(C10,2)</f>
        <v>574.4</v>
      </c>
      <c r="P10" s="13">
        <f>N10/2</f>
        <v>438.24687500000005</v>
      </c>
      <c r="Q10" s="13">
        <f>O10/2</f>
        <v>287.2</v>
      </c>
    </row>
    <row r="11" spans="1:17" x14ac:dyDescent="0.2">
      <c r="A11" s="10" t="s">
        <v>35</v>
      </c>
      <c r="B11" s="11" t="str">
        <f>VLOOKUP(A11,[1]DesEspArbolada!A$1:B$65536,2,0)</f>
        <v>Pinus sylvestris</v>
      </c>
      <c r="C11" s="12">
        <v>40</v>
      </c>
      <c r="D11" s="12">
        <v>10</v>
      </c>
      <c r="E11" s="15">
        <f>IF(C11&gt;37.5,1,0)</f>
        <v>1</v>
      </c>
      <c r="F11" s="16">
        <f>0.0154*POWER(C11,2)*D11</f>
        <v>246.4</v>
      </c>
      <c r="G11" s="16"/>
      <c r="H11" s="16">
        <f>(0.54*POWER((C11-37.5),2)-0.0119*POWER((C11-37.5),2)*D11)*E11</f>
        <v>2.6312499999999996</v>
      </c>
      <c r="I11" s="16">
        <f>0.0295*POWER(C11,2.742)*POWER(D11,-0.899)</f>
        <v>91.975151570470118</v>
      </c>
      <c r="J11" s="16">
        <f>0.53*POWER(C11,2.199)*POWER(D11,-1.153)</f>
        <v>124.22408042163688</v>
      </c>
      <c r="K11" s="16"/>
      <c r="L11" s="16"/>
      <c r="M11" s="16"/>
      <c r="N11" s="16">
        <f>F11+G11+H11+I11+J11+K11+L11</f>
        <v>465.230481992107</v>
      </c>
      <c r="O11" s="16">
        <f>0.13*POWER(C11,2)</f>
        <v>208</v>
      </c>
      <c r="P11" s="13">
        <f>N11/2</f>
        <v>232.6152409960535</v>
      </c>
      <c r="Q11" s="13">
        <f>O11/2</f>
        <v>104</v>
      </c>
    </row>
    <row r="12" spans="1:17" x14ac:dyDescent="0.2">
      <c r="A12" s="10" t="s">
        <v>31</v>
      </c>
      <c r="B12" s="11" t="str">
        <f>VLOOKUP(A12,[1]DesEspArbolada!A$1:B$65536,2,0)</f>
        <v>Pinus pinea</v>
      </c>
      <c r="C12" s="12">
        <v>40</v>
      </c>
      <c r="D12" s="12">
        <v>10</v>
      </c>
      <c r="E12" s="15">
        <f>IF(C12&gt;22.5,1,0)</f>
        <v>1</v>
      </c>
      <c r="F12" s="16">
        <f>0.0224*POWER(C12,1.923)*POWER(D12,1.0193)</f>
        <v>282.03913994231584</v>
      </c>
      <c r="G12" s="16"/>
      <c r="H12" s="16">
        <f>0.247*POWER((C12-22.5),2)*E12</f>
        <v>75.643749999999997</v>
      </c>
      <c r="I12" s="16">
        <f>0.0525*POWER(C12,2)</f>
        <v>84</v>
      </c>
      <c r="J12" s="16">
        <f>21.927+0.0707*POWER(C12,2)-2.827*D12</f>
        <v>106.777</v>
      </c>
      <c r="K12" s="16"/>
      <c r="L12" s="16"/>
      <c r="M12" s="16"/>
      <c r="N12" s="16">
        <f>F12+G12+H12+I12+J12+K12+L12</f>
        <v>548.45988994231584</v>
      </c>
      <c r="O12" s="16">
        <f>0.117*POWER(C12,2)</f>
        <v>187.20000000000002</v>
      </c>
      <c r="P12" s="13">
        <f>N12/2</f>
        <v>274.22994497115792</v>
      </c>
      <c r="Q12" s="13">
        <f>O12/2</f>
        <v>93.600000000000009</v>
      </c>
    </row>
    <row r="13" spans="1:17" x14ac:dyDescent="0.2">
      <c r="A13" s="10" t="s">
        <v>32</v>
      </c>
      <c r="B13" s="11" t="str">
        <f>VLOOKUP(A13,[1]DesEspArbolada!A$1:B$65536,2,0)</f>
        <v>Pinus halepensis</v>
      </c>
      <c r="C13" s="12">
        <v>40</v>
      </c>
      <c r="D13" s="12">
        <v>10</v>
      </c>
      <c r="E13" s="15">
        <f>IF(C13&gt;27.5,1,0)</f>
        <v>1</v>
      </c>
      <c r="F13" s="16">
        <f>0.0139*POWER(C13,2)*D13</f>
        <v>222.39999999999998</v>
      </c>
      <c r="G13" s="16"/>
      <c r="H13" s="16">
        <f>3.926*(C13-27.5)*E13</f>
        <v>49.075000000000003</v>
      </c>
      <c r="I13" s="16">
        <f>4.257+0.00506*POWER(C13,2)*D13-0.0722*C13*D13</f>
        <v>56.337000000000018</v>
      </c>
      <c r="J13" s="16">
        <f>6.197+0.00932*POWER(D13,2)*E13-0.0686*D13*E13</f>
        <v>6.4430000000000005</v>
      </c>
      <c r="K13" s="16"/>
      <c r="L13" s="16"/>
      <c r="M13" s="16"/>
      <c r="N13" s="16">
        <f>F13+G13+H13+I13+J13+K13+L13</f>
        <v>334.255</v>
      </c>
      <c r="O13" s="16">
        <f>0.0785*POWER(C13,2)</f>
        <v>125.6</v>
      </c>
      <c r="P13" s="13">
        <f>N13/2</f>
        <v>167.1275</v>
      </c>
      <c r="Q13" s="13">
        <f>O13/2</f>
        <v>62.8</v>
      </c>
    </row>
    <row r="14" spans="1:17" x14ac:dyDescent="0.2">
      <c r="A14" s="10" t="s">
        <v>18</v>
      </c>
      <c r="B14" s="11" t="str">
        <f>VLOOKUP(A14,[1]DesEspArbolada!A$1:B$65536,2,0)</f>
        <v>Pinus nigra</v>
      </c>
      <c r="C14" s="12">
        <v>40</v>
      </c>
      <c r="D14" s="12">
        <v>10</v>
      </c>
      <c r="E14" s="15">
        <f>IF(C14&gt;32.5,1,0)</f>
        <v>1</v>
      </c>
      <c r="F14" s="16">
        <f>0.0403*POWER(C14,1.838)*POWER(D14,0.945)</f>
        <v>312.52971089192505</v>
      </c>
      <c r="G14" s="16"/>
      <c r="H14" s="16">
        <f>0.228*POWER((C14-32.5),2)*E14</f>
        <v>12.825000000000001</v>
      </c>
      <c r="I14" s="16">
        <f>0.0521*POWER(C14,2)</f>
        <v>83.36</v>
      </c>
      <c r="J14" s="16">
        <f>0.072*POWER(C14,2)</f>
        <v>115.19999999999999</v>
      </c>
      <c r="K14" s="16"/>
      <c r="L14" s="16"/>
      <c r="M14" s="16"/>
      <c r="N14" s="16">
        <f>F14+G14+H14+I14+J14+K14+L14</f>
        <v>523.9147108919251</v>
      </c>
      <c r="O14" s="16">
        <f>0.0189*POWER(C14,2.445)</f>
        <v>156.1343584045832</v>
      </c>
      <c r="P14" s="13">
        <f>N14/2</f>
        <v>261.95735544596255</v>
      </c>
      <c r="Q14" s="13">
        <f>O14/2</f>
        <v>78.067179202291598</v>
      </c>
    </row>
    <row r="15" spans="1:17" x14ac:dyDescent="0.2">
      <c r="A15" s="10" t="s">
        <v>42</v>
      </c>
      <c r="B15" s="11" t="str">
        <f>VLOOKUP(A15,[1]DesEspArbolada!A$1:B$65536,2,0)</f>
        <v>Pinus pinaster</v>
      </c>
      <c r="C15" s="12">
        <v>40</v>
      </c>
      <c r="D15" s="12">
        <v>10</v>
      </c>
      <c r="E15" s="15"/>
      <c r="F15" s="16">
        <f>0.0278*POWER(C15,2.115)*POWER(D15,0.618)</f>
        <v>282.09908504618613</v>
      </c>
      <c r="G15" s="16"/>
      <c r="H15" s="16">
        <f>0.000381*POWER(C15,3.141)</f>
        <v>41.019976614097203</v>
      </c>
      <c r="I15" s="16"/>
      <c r="J15" s="16">
        <f>0.0129*POWER(C15,2.32)</f>
        <v>67.19994075655427</v>
      </c>
      <c r="K15" s="16"/>
      <c r="L15" s="16"/>
      <c r="M15" s="16"/>
      <c r="N15" s="16">
        <f>F15+G15+H15+I15+J15+K15+L15</f>
        <v>390.31900241683763</v>
      </c>
      <c r="O15" s="16">
        <f>0.00444*POWER(C15,2.804)</f>
        <v>137.8983868549893</v>
      </c>
      <c r="P15" s="13">
        <f>N15/2</f>
        <v>195.15950120841882</v>
      </c>
      <c r="Q15" s="13">
        <f>O15/2</f>
        <v>68.949193427494649</v>
      </c>
    </row>
    <row r="16" spans="1:17" x14ac:dyDescent="0.2">
      <c r="A16" s="10" t="s">
        <v>38</v>
      </c>
      <c r="B16" s="11" t="str">
        <f>VLOOKUP(A16,[1]DesEspArbolada!A$1:B$65536,2,0)</f>
        <v>Cupressus sempervirens</v>
      </c>
      <c r="C16" s="12">
        <v>40</v>
      </c>
      <c r="D16" s="12">
        <v>10</v>
      </c>
      <c r="E16" s="15">
        <f>IF(C16&gt;22.5,1,0)</f>
        <v>1</v>
      </c>
      <c r="F16" s="16">
        <f>0.0132*POWER(C16,2)*D16+0.217*C16*D16</f>
        <v>298</v>
      </c>
      <c r="G16" s="16"/>
      <c r="H16" s="16">
        <f>0.107*POWER((C16-22.5),2)*E16</f>
        <v>32.768749999999997</v>
      </c>
      <c r="I16" s="16">
        <f>0.00792*POWER(C16,2)*D16</f>
        <v>126.72</v>
      </c>
      <c r="J16" s="16">
        <f>0.273*C16*D16</f>
        <v>109.20000000000002</v>
      </c>
      <c r="K16" s="16"/>
      <c r="L16" s="16"/>
      <c r="M16" s="16"/>
      <c r="N16" s="16">
        <f>F16+G16+H16+I16+J16+K16+L16</f>
        <v>566.68875000000003</v>
      </c>
      <c r="O16" s="16">
        <f>0.0767*POWER(C16,2)</f>
        <v>122.72000000000001</v>
      </c>
      <c r="P16" s="13">
        <f>N16/2</f>
        <v>283.34437500000001</v>
      </c>
      <c r="Q16" s="13">
        <f>O16/2</f>
        <v>61.360000000000007</v>
      </c>
    </row>
    <row r="17" spans="1:17" x14ac:dyDescent="0.2">
      <c r="A17" s="10" t="s">
        <v>36</v>
      </c>
      <c r="B17" s="11" t="str">
        <f>VLOOKUP(A17,[1]DesEspArbolada!A$1:B$65536,2,0)</f>
        <v>Juniperus communis</v>
      </c>
      <c r="C17" s="12">
        <v>40</v>
      </c>
      <c r="D17" s="12">
        <v>10</v>
      </c>
      <c r="E17" s="15">
        <f>IF(C17&gt;22.5,1,0)</f>
        <v>1</v>
      </c>
      <c r="F17" s="16">
        <f>0.0132*POWER(C17,2)*D17+0.217*C17*D17</f>
        <v>298</v>
      </c>
      <c r="G17" s="16"/>
      <c r="H17" s="16">
        <f>0.107*POWER((C17-22.5),2)*E17</f>
        <v>32.768749999999997</v>
      </c>
      <c r="I17" s="16">
        <f>0.00792*POWER(C17,2)*D17</f>
        <v>126.72</v>
      </c>
      <c r="J17" s="16">
        <f>0.273*C17*D17</f>
        <v>109.20000000000002</v>
      </c>
      <c r="K17" s="16"/>
      <c r="L17" s="16"/>
      <c r="M17" s="16"/>
      <c r="N17" s="16">
        <f>F17+G17+H17+I17+J17+K17+L17</f>
        <v>566.68875000000003</v>
      </c>
      <c r="O17" s="16">
        <f>0.0767*POWER(C17,2)</f>
        <v>122.72000000000001</v>
      </c>
      <c r="P17" s="13">
        <f>N17/2</f>
        <v>283.34437500000001</v>
      </c>
      <c r="Q17" s="13">
        <f>O17/2</f>
        <v>61.360000000000007</v>
      </c>
    </row>
    <row r="18" spans="1:17" x14ac:dyDescent="0.2">
      <c r="A18" s="10" t="s">
        <v>26</v>
      </c>
      <c r="B18" s="11" t="str">
        <f>VLOOKUP(A18,[1]DesEspArbolada!A$1:B$65536,2,0)</f>
        <v>Juniperus thurifera</v>
      </c>
      <c r="C18" s="12">
        <v>40</v>
      </c>
      <c r="D18" s="12">
        <v>10</v>
      </c>
      <c r="E18" s="15">
        <f>IF(C18&gt;22.5,1,0)</f>
        <v>1</v>
      </c>
      <c r="F18" s="16">
        <f>0.0132*POWER(C18,2)*D18+0.217*C18*D18</f>
        <v>298</v>
      </c>
      <c r="G18" s="16"/>
      <c r="H18" s="16">
        <f>0.107*POWER((C18-22.5),2)*E18</f>
        <v>32.768749999999997</v>
      </c>
      <c r="I18" s="16">
        <f>0.00792*POWER(C18,2)*D18</f>
        <v>126.72</v>
      </c>
      <c r="J18" s="16">
        <f>0.273*C18*D18</f>
        <v>109.20000000000002</v>
      </c>
      <c r="K18" s="16"/>
      <c r="L18" s="16"/>
      <c r="M18" s="16"/>
      <c r="N18" s="16">
        <f>F18+G18+H18+I18+J18+K18+L18</f>
        <v>566.68875000000003</v>
      </c>
      <c r="O18" s="16">
        <f>0.0767*POWER(C18,2)</f>
        <v>122.72000000000001</v>
      </c>
      <c r="P18" s="13">
        <f>N18/2</f>
        <v>283.34437500000001</v>
      </c>
      <c r="Q18" s="13">
        <f>O18/2</f>
        <v>61.360000000000007</v>
      </c>
    </row>
    <row r="19" spans="1:17" x14ac:dyDescent="0.2">
      <c r="A19" s="10" t="s">
        <v>33</v>
      </c>
      <c r="B19" s="11" t="str">
        <f>VLOOKUP(A19,[1]DesEspArbolada!A$1:B$65536,2,0)</f>
        <v>Juniperus phoenicea</v>
      </c>
      <c r="C19" s="12">
        <v>40</v>
      </c>
      <c r="D19" s="12">
        <v>10</v>
      </c>
      <c r="E19" s="15">
        <f>IF(C19&gt;22.5,1,0)</f>
        <v>1</v>
      </c>
      <c r="F19" s="16">
        <f>0.0132*POWER(C19,2)*D19+0.217*C19*D19</f>
        <v>298</v>
      </c>
      <c r="G19" s="16"/>
      <c r="H19" s="16">
        <f>0.107*POWER((C19-22.5),2)*E19</f>
        <v>32.768749999999997</v>
      </c>
      <c r="I19" s="16">
        <f>0.00792*POWER(C19,2)*D19</f>
        <v>126.72</v>
      </c>
      <c r="J19" s="16">
        <f>0.273*C19*D19</f>
        <v>109.20000000000002</v>
      </c>
      <c r="K19" s="16"/>
      <c r="L19" s="16"/>
      <c r="M19" s="16"/>
      <c r="N19" s="16">
        <f>F19+G19+H19+I19+J19+K19+L19</f>
        <v>566.68875000000003</v>
      </c>
      <c r="O19" s="16">
        <f>0.0767*POWER(C19,2)</f>
        <v>122.72000000000001</v>
      </c>
      <c r="P19" s="13">
        <f>N19/2</f>
        <v>283.34437500000001</v>
      </c>
      <c r="Q19" s="13">
        <f>O19/2</f>
        <v>61.360000000000007</v>
      </c>
    </row>
    <row r="20" spans="1:17" x14ac:dyDescent="0.2">
      <c r="A20" s="10" t="s">
        <v>19</v>
      </c>
      <c r="B20" s="11" t="str">
        <f>VLOOKUP(A20,[1]DesEspArbolada!A$1:B$65536,2,0)</f>
        <v>Quercus faginea</v>
      </c>
      <c r="C20" s="12">
        <v>40</v>
      </c>
      <c r="D20" s="12">
        <v>10</v>
      </c>
      <c r="E20" s="15"/>
      <c r="F20" s="16">
        <f>0.154*POWER(C20,2)</f>
        <v>246.4</v>
      </c>
      <c r="G20" s="16"/>
      <c r="H20" s="16">
        <f>0.0861*POWER(C20,2)</f>
        <v>137.76</v>
      </c>
      <c r="I20" s="16">
        <f>0.127*POWER(C20,2)-0.00598*POWER(C20,2)*D20</f>
        <v>107.52</v>
      </c>
      <c r="J20" s="16">
        <f>0.0726*POWER(C20,2)-0.00275*POWER(C20,2)*D20</f>
        <v>72.16</v>
      </c>
      <c r="K20" s="16"/>
      <c r="L20" s="16"/>
      <c r="M20" s="16"/>
      <c r="N20" s="16">
        <f>F20+G20+H20+I20+J20+K20+L20</f>
        <v>563.83999999999992</v>
      </c>
      <c r="O20" s="16">
        <f>0.169*POWER(C20,2)</f>
        <v>270.40000000000003</v>
      </c>
      <c r="P20" s="13">
        <f>N20/2</f>
        <v>281.91999999999996</v>
      </c>
      <c r="Q20" s="13">
        <f>O20/2</f>
        <v>135.20000000000002</v>
      </c>
    </row>
    <row r="21" spans="1:17" x14ac:dyDescent="0.2">
      <c r="A21" s="10" t="s">
        <v>20</v>
      </c>
      <c r="B21" s="11" t="str">
        <f>VLOOKUP(A21,[1]DesEspArbolada!A$1:B$65536,2,0)</f>
        <v>Quercus ilex</v>
      </c>
      <c r="C21" s="12">
        <v>40</v>
      </c>
      <c r="D21" s="12">
        <v>10</v>
      </c>
      <c r="E21" s="15">
        <f>IF(C21&gt;12.5,1,0)</f>
        <v>1</v>
      </c>
      <c r="F21" s="16">
        <f>0.143*POWER(C21,2)</f>
        <v>228.79999999999998</v>
      </c>
      <c r="G21" s="16"/>
      <c r="H21" s="16">
        <f>(0.0684*POWER((C21-12.5),2)*D21)*E21</f>
        <v>517.27499999999998</v>
      </c>
      <c r="I21" s="16">
        <f>0.0898*POWER(C21,2)</f>
        <v>143.68</v>
      </c>
      <c r="J21" s="16">
        <f>0.0823*POWER(C21,2)</f>
        <v>131.68</v>
      </c>
      <c r="K21" s="16"/>
      <c r="L21" s="16"/>
      <c r="M21" s="16"/>
      <c r="N21" s="16">
        <f>F21+G21+H21+I21+J21+K21+L21</f>
        <v>1021.4349999999999</v>
      </c>
      <c r="O21" s="16">
        <f>0.254*POWER(C21,2)</f>
        <v>406.4</v>
      </c>
      <c r="P21" s="13">
        <f>N21/2</f>
        <v>510.71749999999997</v>
      </c>
      <c r="Q21" s="13">
        <f>O21/2</f>
        <v>203.2</v>
      </c>
    </row>
    <row r="22" spans="1:17" x14ac:dyDescent="0.2">
      <c r="A22" s="10" t="s">
        <v>53</v>
      </c>
      <c r="B22" s="11" t="str">
        <f>VLOOKUP(A22,[1]DesEspArbolada!A$1:B$65536,2,0)</f>
        <v>Quercus suber</v>
      </c>
      <c r="C22" s="12">
        <v>40</v>
      </c>
      <c r="D22" s="12">
        <v>10</v>
      </c>
      <c r="E22" s="15"/>
      <c r="F22" s="16">
        <f>0.00525*POWER(C22,2)*D22+0.278*C22*D22</f>
        <v>195.20000000000002</v>
      </c>
      <c r="G22" s="16"/>
      <c r="H22" s="16">
        <f>0.0135*POWER(C22,2)*D22</f>
        <v>216</v>
      </c>
      <c r="I22" s="16">
        <f>0.127*C22*D22</f>
        <v>50.8</v>
      </c>
      <c r="J22" s="16">
        <f>0.0463*C22*D22</f>
        <v>18.52</v>
      </c>
      <c r="K22" s="16"/>
      <c r="L22" s="16"/>
      <c r="M22" s="16"/>
      <c r="N22" s="16">
        <f>F22+G22+H22+I22+J22+K22+L22</f>
        <v>480.52000000000004</v>
      </c>
      <c r="O22" s="16">
        <f>0.0829*POWER(C22,2)</f>
        <v>132.64000000000001</v>
      </c>
      <c r="P22" s="13">
        <f>N22/2</f>
        <v>240.26000000000002</v>
      </c>
      <c r="Q22" s="13">
        <f>O22/2</f>
        <v>66.320000000000007</v>
      </c>
    </row>
    <row r="23" spans="1:17" x14ac:dyDescent="0.2">
      <c r="A23" s="10" t="s">
        <v>29</v>
      </c>
      <c r="B23" s="11" t="str">
        <f>VLOOKUP(A23,[1]DesEspArbolada!A$1:B$65536,2,0)</f>
        <v>Populus alba</v>
      </c>
      <c r="C23" s="12">
        <v>40</v>
      </c>
      <c r="D23" s="12">
        <v>10</v>
      </c>
      <c r="E23" s="15">
        <f>IF(C23&gt;22.5,1,0)</f>
        <v>1</v>
      </c>
      <c r="F23" s="16">
        <f>0.013*POWER(C23,2)*D23</f>
        <v>208</v>
      </c>
      <c r="G23" s="16"/>
      <c r="H23" s="16">
        <f>(0.538*POWER((C23-22.5),2)-0.013*POWER((C23-22.5),2)*D23)*E23</f>
        <v>124.95000000000002</v>
      </c>
      <c r="I23" s="16">
        <f>0.0385*POWER(C23,2)</f>
        <v>61.6</v>
      </c>
      <c r="J23" s="16">
        <f>0.0774*POWER(C23,2)-0.00198*POWER(C23,2)*D23</f>
        <v>92.16</v>
      </c>
      <c r="K23" s="16"/>
      <c r="L23" s="16"/>
      <c r="M23" s="16"/>
      <c r="N23" s="16">
        <f>F23+G23+H23+I23+J23+K23+L23</f>
        <v>486.71000000000004</v>
      </c>
      <c r="O23" s="16">
        <f>0.122*POWER(C23,2)</f>
        <v>195.2</v>
      </c>
      <c r="P23" s="13">
        <f>N23/2</f>
        <v>243.35500000000002</v>
      </c>
      <c r="Q23" s="13">
        <f>O23/2</f>
        <v>97.6</v>
      </c>
    </row>
    <row r="24" spans="1:17" x14ac:dyDescent="0.2">
      <c r="A24" s="10" t="s">
        <v>43</v>
      </c>
      <c r="B24" s="11" t="str">
        <f>VLOOKUP(A24,[1]DesEspArbolada!A$1:B$65536,2,0)</f>
        <v>Tamarix spp.</v>
      </c>
      <c r="C24" s="12">
        <v>40</v>
      </c>
      <c r="D24" s="12">
        <v>10</v>
      </c>
      <c r="E24" s="15">
        <f>IF(C24&gt;22.5,1,0)</f>
        <v>1</v>
      </c>
      <c r="F24" s="16">
        <f>0.0132*POWER(C24,2)*D24+0.217*C24*D24</f>
        <v>298</v>
      </c>
      <c r="G24" s="16"/>
      <c r="H24" s="16">
        <f>0.107*POWER((C24-22.5),2)*E24</f>
        <v>32.768749999999997</v>
      </c>
      <c r="I24" s="16">
        <f>0.00792*POWER(C24,2)*D24</f>
        <v>126.72</v>
      </c>
      <c r="J24" s="16">
        <f>0.273*C24*D24</f>
        <v>109.20000000000002</v>
      </c>
      <c r="K24" s="16"/>
      <c r="L24" s="16"/>
      <c r="M24" s="16"/>
      <c r="N24" s="16">
        <f>F24+G24+H24+I24+J24+K24+L24</f>
        <v>566.68875000000003</v>
      </c>
      <c r="O24" s="16">
        <f>0.0767*POWER(C24,2)</f>
        <v>122.72000000000001</v>
      </c>
      <c r="P24" s="13">
        <f>N24/2</f>
        <v>283.34437500000001</v>
      </c>
      <c r="Q24" s="13">
        <f>O24/2</f>
        <v>61.360000000000007</v>
      </c>
    </row>
    <row r="25" spans="1:17" x14ac:dyDescent="0.2">
      <c r="A25" s="10" t="s">
        <v>25</v>
      </c>
      <c r="B25" s="11" t="str">
        <f>VLOOKUP(A25,[1]DesEspArbolada!A$1:B$65536,2,0)</f>
        <v>Fraxinus angustifolia</v>
      </c>
      <c r="C25" s="12">
        <v>40</v>
      </c>
      <c r="D25" s="12">
        <v>10</v>
      </c>
      <c r="E25" s="15">
        <f>IF(C25&gt;12.5,1,0)</f>
        <v>1</v>
      </c>
      <c r="F25" s="16">
        <f>0.0296*POWER(C25,2)*D25</f>
        <v>473.6</v>
      </c>
      <c r="G25" s="16"/>
      <c r="H25" s="16">
        <f>0.231*POWER((C25-12.5),2)*E25</f>
        <v>174.69374999999999</v>
      </c>
      <c r="I25" s="16">
        <f>0.0925*POWER(C25,2)</f>
        <v>148</v>
      </c>
      <c r="J25" s="16">
        <f>2.005*C25</f>
        <v>80.199999999999989</v>
      </c>
      <c r="K25" s="16"/>
      <c r="L25" s="16"/>
      <c r="M25" s="16"/>
      <c r="N25" s="16">
        <f>F25+G25+H25+I25+J25+K25+L25</f>
        <v>876.49375000000009</v>
      </c>
      <c r="O25" s="16">
        <f>0.359*POWER(C25,2)</f>
        <v>574.4</v>
      </c>
      <c r="P25" s="13">
        <f>N25/2</f>
        <v>438.24687500000005</v>
      </c>
      <c r="Q25" s="13">
        <f>O25/2</f>
        <v>287.2</v>
      </c>
    </row>
    <row r="26" spans="1:17" x14ac:dyDescent="0.2">
      <c r="A26" s="10" t="s">
        <v>27</v>
      </c>
      <c r="B26" s="11" t="str">
        <f>VLOOKUP(A26,[1]DesEspArbolada!A$1:B$65536,2,0)</f>
        <v>Ulmus minor</v>
      </c>
      <c r="C26" s="12">
        <v>40</v>
      </c>
      <c r="D26" s="12">
        <v>10</v>
      </c>
      <c r="E26" s="15">
        <f>IF(C26&gt;12.5,1,0)</f>
        <v>1</v>
      </c>
      <c r="F26" s="16">
        <f>0.0296*POWER(C26,2)*D26</f>
        <v>473.6</v>
      </c>
      <c r="G26" s="16"/>
      <c r="H26" s="16">
        <f>0.231*POWER((C26-12.5),2)*E26</f>
        <v>174.69374999999999</v>
      </c>
      <c r="I26" s="16">
        <f>0.0925*POWER(C26,2)</f>
        <v>148</v>
      </c>
      <c r="J26" s="16">
        <f>2.005*C26</f>
        <v>80.199999999999989</v>
      </c>
      <c r="K26" s="16"/>
      <c r="L26" s="16"/>
      <c r="M26" s="16"/>
      <c r="N26" s="16">
        <f>F26+G26+H26+I26+J26+K26+L26</f>
        <v>876.49375000000009</v>
      </c>
      <c r="O26" s="16">
        <f>0.359*POWER(C26,2)</f>
        <v>574.4</v>
      </c>
      <c r="P26" s="13">
        <f>N26/2</f>
        <v>438.24687500000005</v>
      </c>
      <c r="Q26" s="13">
        <f>O26/2</f>
        <v>287.2</v>
      </c>
    </row>
    <row r="27" spans="1:17" x14ac:dyDescent="0.2">
      <c r="A27" s="10" t="s">
        <v>22</v>
      </c>
      <c r="B27" s="11" t="str">
        <f>VLOOKUP(A27,[1]DesEspArbolada!A$1:B$65536,2,0)</f>
        <v>Populus nigra</v>
      </c>
      <c r="C27" s="12">
        <v>40</v>
      </c>
      <c r="D27" s="12">
        <v>10</v>
      </c>
      <c r="E27" s="15">
        <f>IF(C27&gt;22.5,1,0)</f>
        <v>1</v>
      </c>
      <c r="F27" s="16">
        <f>0.013*POWER(C27,2)*D27</f>
        <v>208</v>
      </c>
      <c r="G27" s="16"/>
      <c r="H27" s="16">
        <f>(0.538*POWER((C27-22.5),2)-0.013*POWER((C27-22.5),2)*D27)*E27</f>
        <v>124.95000000000002</v>
      </c>
      <c r="I27" s="16">
        <f>0.0385*POWER(C27,2)</f>
        <v>61.6</v>
      </c>
      <c r="J27" s="16">
        <f>0.0774*POWER(C27,2)-0.00198*POWER(C27,2)*D27</f>
        <v>92.16</v>
      </c>
      <c r="K27" s="16"/>
      <c r="L27" s="16"/>
      <c r="M27" s="16"/>
      <c r="N27" s="16">
        <f>F27+G27+H27+I27+J27+K27+L27</f>
        <v>486.71000000000004</v>
      </c>
      <c r="O27" s="16">
        <f>0.122*POWER(C27,2)</f>
        <v>195.2</v>
      </c>
      <c r="P27" s="13">
        <f>N27/2</f>
        <v>243.35500000000002</v>
      </c>
      <c r="Q27" s="13">
        <f>O27/2</f>
        <v>97.6</v>
      </c>
    </row>
    <row r="28" spans="1:17" x14ac:dyDescent="0.2">
      <c r="A28" s="10" t="s">
        <v>57</v>
      </c>
      <c r="B28" s="11" t="str">
        <f>VLOOKUP(A28,[1]DesEspArbolada!A$1:B$65536,2,0)</f>
        <v>Eucalyptus globulus</v>
      </c>
      <c r="C28" s="12">
        <v>40</v>
      </c>
      <c r="D28" s="12">
        <v>10</v>
      </c>
      <c r="E28" s="15"/>
      <c r="F28" s="16">
        <f>0.0221*POWER(C28,2)*D28</f>
        <v>353.6</v>
      </c>
      <c r="G28" s="16"/>
      <c r="H28" s="16"/>
      <c r="I28" s="16">
        <f>0.154*POWER(C28,1.668)</f>
        <v>72.403037497251546</v>
      </c>
      <c r="J28" s="16">
        <f>0.18*POWER((POWER(C28,2)*D28),0.587)</f>
        <v>52.855591207872543</v>
      </c>
      <c r="K28" s="16"/>
      <c r="L28" s="16"/>
      <c r="M28" s="16"/>
      <c r="N28" s="16">
        <f>F28+G28+H28+I28+J28+K28+L28</f>
        <v>478.85862870512409</v>
      </c>
      <c r="O28" s="16">
        <f>IF(C28&lt;22.5,170.3,(IF(C28&lt;42.5,199.5,229.4)))</f>
        <v>199.5</v>
      </c>
      <c r="P28" s="13">
        <f>N28/2</f>
        <v>239.42931435256205</v>
      </c>
      <c r="Q28" s="13">
        <f>O28/2</f>
        <v>99.75</v>
      </c>
    </row>
    <row r="29" spans="1:17" x14ac:dyDescent="0.2">
      <c r="A29" s="10" t="s">
        <v>58</v>
      </c>
      <c r="B29" s="11" t="str">
        <f>VLOOKUP(A29,[1]DesEspArbolada!A$1:B$65536,2,0)</f>
        <v>Eucalyptus camaldulensis</v>
      </c>
      <c r="C29" s="12">
        <v>40</v>
      </c>
      <c r="D29" s="12">
        <v>10</v>
      </c>
      <c r="E29" s="15"/>
      <c r="F29" s="16">
        <f>0.0221*POWER(C29,2)*D29</f>
        <v>353.6</v>
      </c>
      <c r="G29" s="16"/>
      <c r="H29" s="16"/>
      <c r="I29" s="16">
        <f>0.154*POWER(C29,1.668)</f>
        <v>72.403037497251546</v>
      </c>
      <c r="J29" s="16">
        <f>0.18*POWER((POWER(C29,2)*D29),0.587)</f>
        <v>52.855591207872543</v>
      </c>
      <c r="K29" s="16"/>
      <c r="L29" s="16"/>
      <c r="M29" s="16"/>
      <c r="N29" s="16">
        <f>F29+G29+H29+I29+J29+K29+L29</f>
        <v>478.85862870512409</v>
      </c>
      <c r="O29" s="16">
        <f>IF(C29&lt;22.5,170.3,(IF(C29&lt;42.5,199.5,229.4)))</f>
        <v>199.5</v>
      </c>
      <c r="P29" s="13">
        <f>N29/2</f>
        <v>239.42931435256205</v>
      </c>
      <c r="Q29" s="13">
        <f>O29/2</f>
        <v>99.75</v>
      </c>
    </row>
    <row r="30" spans="1:17" x14ac:dyDescent="0.2">
      <c r="A30" s="10" t="s">
        <v>59</v>
      </c>
      <c r="B30" s="11" t="str">
        <f>VLOOKUP(A30,[1]DesEspArbolada!A$1:B$65536,2,0)</f>
        <v>Otros eucaliptos</v>
      </c>
      <c r="C30" s="12">
        <v>40</v>
      </c>
      <c r="D30" s="12">
        <v>10</v>
      </c>
      <c r="E30" s="15"/>
      <c r="F30" s="16">
        <f>0.0221*POWER(C30,2)*D30</f>
        <v>353.6</v>
      </c>
      <c r="G30" s="16"/>
      <c r="H30" s="16"/>
      <c r="I30" s="16">
        <f>0.154*POWER(C30,1.668)</f>
        <v>72.403037497251546</v>
      </c>
      <c r="J30" s="16">
        <f>0.18*POWER((POWER(C30,2)*D30),0.587)</f>
        <v>52.855591207872543</v>
      </c>
      <c r="K30" s="16"/>
      <c r="L30" s="16"/>
      <c r="M30" s="16"/>
      <c r="N30" s="16">
        <f>F30+G30+H30+I30+J30+K30+L30</f>
        <v>478.85862870512409</v>
      </c>
      <c r="O30" s="16">
        <f>IF(C30&lt;22.5,170.3,(IF(C30&lt;42.5,199.5,229.4)))</f>
        <v>199.5</v>
      </c>
      <c r="P30" s="13">
        <f>N30/2</f>
        <v>239.42931435256205</v>
      </c>
      <c r="Q30" s="13">
        <f>O30/2</f>
        <v>99.75</v>
      </c>
    </row>
    <row r="31" spans="1:17" x14ac:dyDescent="0.2">
      <c r="A31" s="10" t="s">
        <v>39</v>
      </c>
      <c r="B31" s="11" t="str">
        <f>VLOOKUP(A31,[1]DesEspArbolada!A$1:B$65536,2,0)</f>
        <v>Olea europaea</v>
      </c>
      <c r="C31" s="12">
        <v>40</v>
      </c>
      <c r="D31" s="12">
        <v>10</v>
      </c>
      <c r="E31" s="15"/>
      <c r="F31" s="16">
        <f>0.0114*POWER(C31,2)*D31</f>
        <v>182.40000000000003</v>
      </c>
      <c r="G31" s="16"/>
      <c r="H31" s="16">
        <f>0.0108*POWER(C31,2)*D31</f>
        <v>172.8</v>
      </c>
      <c r="I31" s="16">
        <f>1.672*C31</f>
        <v>66.88</v>
      </c>
      <c r="J31" s="16">
        <f>0.0354*POWER(C31,2)+1.187*D31</f>
        <v>68.510000000000005</v>
      </c>
      <c r="K31" s="16"/>
      <c r="L31" s="16"/>
      <c r="M31" s="16"/>
      <c r="N31" s="16">
        <f>F31+G31+H31+I31+J31+K31+L31</f>
        <v>490.59000000000003</v>
      </c>
      <c r="O31" s="16">
        <f>0.147*POWER(C31,2)</f>
        <v>235.2</v>
      </c>
      <c r="P31" s="13">
        <f>N31/2</f>
        <v>245.29500000000002</v>
      </c>
      <c r="Q31" s="13">
        <f>O31/2</f>
        <v>117.6</v>
      </c>
    </row>
    <row r="32" spans="1:17" x14ac:dyDescent="0.2">
      <c r="A32" s="10" t="s">
        <v>60</v>
      </c>
      <c r="B32" s="11" t="str">
        <f>VLOOKUP(A32,[1]DesEspArbolada!A$1:B$65536,2,0)</f>
        <v>Ceratonia siliqua</v>
      </c>
      <c r="C32" s="12">
        <v>40</v>
      </c>
      <c r="D32" s="12">
        <v>10</v>
      </c>
      <c r="E32" s="15"/>
      <c r="F32" s="16">
        <f>0.142*POWER(C32,1.974)</f>
        <v>206.42142283778551</v>
      </c>
      <c r="G32" s="16"/>
      <c r="H32" s="16">
        <f>0.104*POWER(C32,2)</f>
        <v>166.4</v>
      </c>
      <c r="I32" s="16">
        <f>0.0538*POWER(D32,2)</f>
        <v>5.38</v>
      </c>
      <c r="J32" s="16">
        <f>0.151*POWER(C32,2)-0.0074*POWER(C32,2)*D32</f>
        <v>123.19999999999999</v>
      </c>
      <c r="K32" s="16"/>
      <c r="L32" s="16"/>
      <c r="M32" s="16"/>
      <c r="N32" s="16">
        <f>F32+G32+H32+I32+J32+K32+L32</f>
        <v>501.4014228377855</v>
      </c>
      <c r="O32" s="16">
        <f>0.335*POWER(C32,2)</f>
        <v>536</v>
      </c>
      <c r="P32" s="13">
        <f>N32/2</f>
        <v>250.70071141889275</v>
      </c>
      <c r="Q32" s="13">
        <f>O32/2</f>
        <v>268</v>
      </c>
    </row>
    <row r="33" spans="1:17" x14ac:dyDescent="0.2">
      <c r="A33" s="10" t="s">
        <v>44</v>
      </c>
      <c r="B33" s="11" t="str">
        <f>VLOOKUP(A33,[1]DesEspArbolada!A$1:B$65536,2,0)</f>
        <v xml:space="preserve">Arbutus unedo </v>
      </c>
      <c r="C33" s="12">
        <v>40</v>
      </c>
      <c r="D33" s="12">
        <v>10</v>
      </c>
      <c r="E33" s="15">
        <f>IF(C33&gt;12.5,1,0)</f>
        <v>1</v>
      </c>
      <c r="F33" s="16">
        <f>0.143*POWER(C33,2)</f>
        <v>228.79999999999998</v>
      </c>
      <c r="G33" s="16"/>
      <c r="H33" s="16">
        <f>(0.0684*POWER((C33-12.5),2)*D33)*E33</f>
        <v>517.27499999999998</v>
      </c>
      <c r="I33" s="16">
        <f>0.0898*POWER(C33,2)</f>
        <v>143.68</v>
      </c>
      <c r="J33" s="16">
        <f>0.0823*POWER(C33,2)</f>
        <v>131.68</v>
      </c>
      <c r="K33" s="16"/>
      <c r="L33" s="16"/>
      <c r="M33" s="16"/>
      <c r="N33" s="16">
        <f>F33+G33+H33+I33+J33+K33+L33</f>
        <v>1021.4349999999999</v>
      </c>
      <c r="O33" s="16">
        <f>0.254*POWER(C33,2)</f>
        <v>406.4</v>
      </c>
      <c r="P33" s="13">
        <f>N33/2</f>
        <v>510.71749999999997</v>
      </c>
      <c r="Q33" s="13">
        <f>O33/2</f>
        <v>203.2</v>
      </c>
    </row>
    <row r="34" spans="1:17" x14ac:dyDescent="0.2">
      <c r="A34" s="10" t="s">
        <v>24</v>
      </c>
      <c r="B34" s="11" t="str">
        <f>VLOOKUP(A34,[1]DesEspArbolada!A$1:B$65536,2,0)</f>
        <v>Juglans regia</v>
      </c>
      <c r="C34" s="12">
        <v>40</v>
      </c>
      <c r="D34" s="12">
        <v>10</v>
      </c>
      <c r="E34" s="15">
        <f>IF(C34&gt;22.5,1,0)</f>
        <v>1</v>
      </c>
      <c r="F34" s="16">
        <f>0.0676*POWER(C34,2)+0.0182*POWER(C34,2)*D34</f>
        <v>399.36</v>
      </c>
      <c r="G34" s="16"/>
      <c r="H34" s="16">
        <f>(0.83*POWER((C34-22.5),2)-0.0248*POWER((C34-22.5),2)*D34)*E34</f>
        <v>178.23750000000001</v>
      </c>
      <c r="I34" s="16">
        <f>0.0792*POWER(C34,2)</f>
        <v>126.72000000000001</v>
      </c>
      <c r="J34" s="16">
        <f>0.093*POWER(C34,2)-0.00226*POWER(C34,2)*D34</f>
        <v>112.64000000000001</v>
      </c>
      <c r="K34" s="16"/>
      <c r="L34" s="16"/>
      <c r="M34" s="16"/>
      <c r="N34" s="16">
        <f>F34+G34+H34+I34+J34+K34+L34</f>
        <v>816.9575000000001</v>
      </c>
      <c r="O34" s="16">
        <f>0.106*POWER(C34,2)</f>
        <v>169.6</v>
      </c>
      <c r="P34" s="13">
        <f>N34/2</f>
        <v>408.47875000000005</v>
      </c>
      <c r="Q34" s="13">
        <f>O34/2</f>
        <v>84.8</v>
      </c>
    </row>
    <row r="35" spans="1:17" x14ac:dyDescent="0.2">
      <c r="A35" s="10" t="s">
        <v>62</v>
      </c>
      <c r="B35" s="11" t="str">
        <f>VLOOKUP(A35,[1]DesEspArbolada!A$1:B$65536,2,0)</f>
        <v>Platanus hispanica</v>
      </c>
      <c r="C35" s="12">
        <v>40</v>
      </c>
      <c r="D35" s="12">
        <v>10</v>
      </c>
      <c r="E35" s="15">
        <f>IF(C35&gt;12.5,1,0)</f>
        <v>1</v>
      </c>
      <c r="F35" s="16">
        <f>0.0142*POWER(C35,2)*D35</f>
        <v>227.20000000000002</v>
      </c>
      <c r="G35" s="16"/>
      <c r="H35" s="16">
        <f>0.223*POWER((C35-12.5),2)*E35</f>
        <v>168.64375000000001</v>
      </c>
      <c r="I35" s="16">
        <f>0.23*C35*D35</f>
        <v>92.000000000000014</v>
      </c>
      <c r="J35" s="16">
        <f>0.221*C35*D35</f>
        <v>88.4</v>
      </c>
      <c r="K35" s="16"/>
      <c r="L35" s="16"/>
      <c r="M35" s="16"/>
      <c r="N35" s="16">
        <f>F35+G35+H35+I35+J35+K35+L35</f>
        <v>576.24374999999998</v>
      </c>
      <c r="O35" s="16">
        <f>0.0211*POWER(C35,2.804)</f>
        <v>655.32791951357524</v>
      </c>
      <c r="P35" s="13">
        <f>N35/2</f>
        <v>288.12187499999999</v>
      </c>
      <c r="Q35" s="13">
        <f>O35/2</f>
        <v>327.66395975678762</v>
      </c>
    </row>
    <row r="36" spans="1:17" x14ac:dyDescent="0.2">
      <c r="A36" s="10" t="s">
        <v>56</v>
      </c>
      <c r="B36" s="11" t="str">
        <f>VLOOKUP(A36,[1]DesEspArbolada!A$1:B$65536,2,0)</f>
        <v>Laurus nobilis</v>
      </c>
      <c r="C36" s="12">
        <v>40</v>
      </c>
      <c r="D36" s="12">
        <v>10</v>
      </c>
      <c r="E36" s="15"/>
      <c r="F36" s="16">
        <f>0.0191*POWER(C36,2)*D36</f>
        <v>305.59999999999997</v>
      </c>
      <c r="G36" s="16"/>
      <c r="H36" s="16">
        <f>0.0512*POWER(C36,2)</f>
        <v>81.92</v>
      </c>
      <c r="I36" s="16"/>
      <c r="J36" s="16">
        <f>0.0567*C36*D36</f>
        <v>22.68</v>
      </c>
      <c r="K36" s="16"/>
      <c r="L36" s="16"/>
      <c r="M36" s="16"/>
      <c r="N36" s="16">
        <f>F36+G36+H36+I36+J36+K36+L36</f>
        <v>410.2</v>
      </c>
      <c r="O36" s="16">
        <f>0.214*POWER(C36,2)</f>
        <v>342.4</v>
      </c>
      <c r="P36" s="13">
        <f>N36/2</f>
        <v>205.1</v>
      </c>
      <c r="Q36" s="13">
        <f>O36/2</f>
        <v>171.2</v>
      </c>
    </row>
    <row r="37" spans="1:17" x14ac:dyDescent="0.2">
      <c r="A37" s="10" t="s">
        <v>45</v>
      </c>
      <c r="B37" s="11" t="str">
        <f>VLOOKUP(A37,[1]DesEspArbolada!A$1:B$65536,2,0)</f>
        <v>Prunus spp.</v>
      </c>
      <c r="C37" s="12">
        <v>40</v>
      </c>
      <c r="D37" s="12">
        <v>10</v>
      </c>
      <c r="E37" s="15">
        <f>IF(C37&gt;12.5,1,0)</f>
        <v>1</v>
      </c>
      <c r="F37" s="16">
        <f>0.0296*POWER(C37,2)*D37</f>
        <v>473.6</v>
      </c>
      <c r="G37" s="16"/>
      <c r="H37" s="16">
        <f>0.231*POWER((C37-12.5),2)*E37</f>
        <v>174.69374999999999</v>
      </c>
      <c r="I37" s="16">
        <f>0.0925*POWER(C37,2)</f>
        <v>148</v>
      </c>
      <c r="J37" s="16">
        <f>2.005*C37</f>
        <v>80.199999999999989</v>
      </c>
      <c r="K37" s="16"/>
      <c r="L37" s="16"/>
      <c r="M37" s="16"/>
      <c r="N37" s="16">
        <f>F37+G37+H37+I37+J37+K37+L37</f>
        <v>876.49375000000009</v>
      </c>
      <c r="O37" s="16">
        <f>0.359*POWER(C37,2)</f>
        <v>574.4</v>
      </c>
      <c r="P37" s="13">
        <f>N37/2</f>
        <v>438.24687500000005</v>
      </c>
      <c r="Q37" s="13">
        <f>O37/2</f>
        <v>287.2</v>
      </c>
    </row>
    <row r="38" spans="1:17" x14ac:dyDescent="0.2">
      <c r="A38" s="10" t="s">
        <v>64</v>
      </c>
      <c r="B38" s="11" t="str">
        <f>VLOOKUP(A38,[1]DesEspArbolada!A$1:B$65536,2,0)</f>
        <v>Otras frondosas</v>
      </c>
      <c r="C38" s="12">
        <v>40</v>
      </c>
      <c r="D38" s="12">
        <v>10</v>
      </c>
      <c r="E38" s="15">
        <f>IF(C38&gt;12.5,1,0)</f>
        <v>1</v>
      </c>
      <c r="F38" s="16">
        <f>0.0296*POWER(C38,2)*D38</f>
        <v>473.6</v>
      </c>
      <c r="G38" s="16"/>
      <c r="H38" s="16">
        <f>0.231*POWER((C38-12.5),2)*E38</f>
        <v>174.69374999999999</v>
      </c>
      <c r="I38" s="16">
        <f>0.0925*POWER(C38,2)</f>
        <v>148</v>
      </c>
      <c r="J38" s="16">
        <f>2.005*C38</f>
        <v>80.199999999999989</v>
      </c>
      <c r="K38" s="16"/>
      <c r="L38" s="16"/>
      <c r="M38" s="16"/>
      <c r="N38" s="16">
        <f>F38+G38+H38+I38+J38+K38+L38</f>
        <v>876.49375000000009</v>
      </c>
      <c r="O38" s="16">
        <f>0.359*POWER(C38,2)</f>
        <v>574.4</v>
      </c>
      <c r="P38" s="13">
        <f>N38/2</f>
        <v>438.24687500000005</v>
      </c>
      <c r="Q38" s="13">
        <f>O38/2</f>
        <v>287.2</v>
      </c>
    </row>
    <row r="39" spans="1:17" x14ac:dyDescent="0.2">
      <c r="A39" s="10" t="s">
        <v>21</v>
      </c>
      <c r="B39" s="11" t="str">
        <f>VLOOKUP(A39,[1]DesEspArbolada!A$1:B$65536,2,0)</f>
        <v>Crataegus monogyna</v>
      </c>
      <c r="C39" s="12">
        <v>40</v>
      </c>
      <c r="D39" s="12">
        <v>10</v>
      </c>
      <c r="E39" s="15">
        <f>IF(C39&gt;12.5,1,0)</f>
        <v>1</v>
      </c>
      <c r="F39" s="16">
        <f>0.143*POWER(C39,2)</f>
        <v>228.79999999999998</v>
      </c>
      <c r="G39" s="16"/>
      <c r="H39" s="16">
        <f>(0.0684*POWER((C39-12.5),2)*D39)*E39</f>
        <v>517.27499999999998</v>
      </c>
      <c r="I39" s="16">
        <f>0.0898*POWER(C39,2)</f>
        <v>143.68</v>
      </c>
      <c r="J39" s="16">
        <f>0.0823*POWER(C39,2)</f>
        <v>131.68</v>
      </c>
      <c r="K39" s="16"/>
      <c r="L39" s="16"/>
      <c r="M39" s="16"/>
      <c r="N39" s="16">
        <f>F39+G39+H39+I39+J39+K39+L39</f>
        <v>1021.4349999999999</v>
      </c>
      <c r="O39" s="16">
        <f>0.254*POWER(C39,2)</f>
        <v>406.4</v>
      </c>
      <c r="P39" s="13">
        <f>N39/2</f>
        <v>510.71749999999997</v>
      </c>
      <c r="Q39" s="13">
        <f>O39/2</f>
        <v>203.2</v>
      </c>
    </row>
    <row r="40" spans="1:17" x14ac:dyDescent="0.2">
      <c r="A40" s="10" t="s">
        <v>34</v>
      </c>
      <c r="B40" s="11" t="str">
        <f>VLOOKUP(A40,[1]DesEspArbolada!A$1:B$65536,2,0)</f>
        <v>Juniperus oxycedrus</v>
      </c>
      <c r="C40" s="12">
        <v>40</v>
      </c>
      <c r="D40" s="12">
        <v>10</v>
      </c>
      <c r="E40" s="15">
        <f>IF(C40&gt;22.5,1,0)</f>
        <v>1</v>
      </c>
      <c r="F40" s="16">
        <f>0.0132*POWER(C40,2)*D40+0.217*C40*D40</f>
        <v>298</v>
      </c>
      <c r="G40" s="16"/>
      <c r="H40" s="16">
        <f>0.107*POWER((C40-22.5),2)*E40</f>
        <v>32.768749999999997</v>
      </c>
      <c r="I40" s="16">
        <f>0.00792*POWER(C40,2)*D40</f>
        <v>126.72</v>
      </c>
      <c r="J40" s="16">
        <f>0.273*C40*D40</f>
        <v>109.20000000000002</v>
      </c>
      <c r="K40" s="16"/>
      <c r="L40" s="16"/>
      <c r="M40" s="16"/>
      <c r="N40" s="16">
        <f>F40+G40+H40+I40+J40+K40+L40</f>
        <v>566.68875000000003</v>
      </c>
      <c r="O40" s="16">
        <f>0.0767*POWER(C40,2)</f>
        <v>122.72000000000001</v>
      </c>
      <c r="P40" s="13">
        <f>N40/2</f>
        <v>283.34437500000001</v>
      </c>
      <c r="Q40" s="13">
        <f>O40/2</f>
        <v>61.360000000000007</v>
      </c>
    </row>
    <row r="41" spans="1:17" x14ac:dyDescent="0.2">
      <c r="A41" s="10" t="s">
        <v>46</v>
      </c>
      <c r="B41" s="11" t="str">
        <f>VLOOKUP(A41,[1]DesEspArbolada!A$1:B$65536,2,0)</f>
        <v>Fraxinus excelsior</v>
      </c>
      <c r="C41" s="12">
        <v>40</v>
      </c>
      <c r="D41" s="12">
        <v>10</v>
      </c>
      <c r="E41" s="15">
        <f>IF(C41&gt;12.5,1,0)</f>
        <v>1</v>
      </c>
      <c r="F41" s="16">
        <f>0.0296*POWER(C41,2)*D41</f>
        <v>473.6</v>
      </c>
      <c r="G41" s="16"/>
      <c r="H41" s="16">
        <f>0.231*POWER((C41-12.5),2)*E41</f>
        <v>174.69374999999999</v>
      </c>
      <c r="I41" s="16">
        <f>0.0925*POWER(C41,2)</f>
        <v>148</v>
      </c>
      <c r="J41" s="16">
        <f>2.005*C41</f>
        <v>80.199999999999989</v>
      </c>
      <c r="K41" s="16"/>
      <c r="L41" s="16"/>
      <c r="M41" s="16"/>
      <c r="N41" s="16">
        <f>F41+G41+H41+I41+J41+K41+L41</f>
        <v>876.49375000000009</v>
      </c>
      <c r="O41" s="16">
        <f>0.359*POWER(C41,2)</f>
        <v>574.4</v>
      </c>
      <c r="P41" s="13">
        <f>N41/2</f>
        <v>438.24687500000005</v>
      </c>
      <c r="Q41" s="13">
        <f>O41/2</f>
        <v>287.2</v>
      </c>
    </row>
    <row r="42" spans="1:17" x14ac:dyDescent="0.2">
      <c r="A42" s="10" t="s">
        <v>23</v>
      </c>
      <c r="B42" s="11" t="str">
        <f>VLOOKUP(A42,[1]DesEspArbolada!A$1:B$65536,2,0)</f>
        <v>Populus x canadensis</v>
      </c>
      <c r="C42" s="12">
        <v>40</v>
      </c>
      <c r="D42" s="12">
        <v>10</v>
      </c>
      <c r="E42" s="15">
        <f>IF(C42&gt;22.5,1,0)</f>
        <v>1</v>
      </c>
      <c r="F42" s="16">
        <f>0.013*POWER(C42,2)*D42</f>
        <v>208</v>
      </c>
      <c r="G42" s="16"/>
      <c r="H42" s="16">
        <f>(0.538*POWER((C42-22.5),2)-0.013*POWER((C42-22.5),2)*D42)*E42</f>
        <v>124.95000000000002</v>
      </c>
      <c r="I42" s="16">
        <f>0.0385*POWER(C42,2)</f>
        <v>61.6</v>
      </c>
      <c r="J42" s="16">
        <f>0.0774*POWER(C42,2)-0.00198*POWER(C42,2)*D42</f>
        <v>92.16</v>
      </c>
      <c r="K42" s="16"/>
      <c r="L42" s="16"/>
      <c r="M42" s="16"/>
      <c r="N42" s="16">
        <f>F42+G42+H42+I42+J42+K42+L42</f>
        <v>486.71000000000004</v>
      </c>
      <c r="O42" s="16">
        <f>0.122*POWER(C42,2)</f>
        <v>195.2</v>
      </c>
      <c r="P42" s="13">
        <f>N42/2</f>
        <v>243.35500000000002</v>
      </c>
      <c r="Q42" s="13">
        <f>O42/2</f>
        <v>97.6</v>
      </c>
    </row>
    <row r="43" spans="1:17" x14ac:dyDescent="0.2">
      <c r="A43" s="10" t="s">
        <v>47</v>
      </c>
      <c r="B43" s="11" t="str">
        <f>VLOOKUP(A43,[1]DesEspArbolada!A$1:B$65536,2,0)</f>
        <v>Sorbus aria</v>
      </c>
      <c r="C43" s="12">
        <v>40</v>
      </c>
      <c r="D43" s="12">
        <v>10</v>
      </c>
      <c r="E43" s="15"/>
      <c r="F43" s="16">
        <f>0.0191*POWER(C43,2)*D43</f>
        <v>305.59999999999997</v>
      </c>
      <c r="G43" s="16"/>
      <c r="H43" s="16">
        <f>0.0512*POWER(C43,2)</f>
        <v>81.92</v>
      </c>
      <c r="I43" s="16"/>
      <c r="J43" s="16">
        <f>0.0567*C43*D43</f>
        <v>22.68</v>
      </c>
      <c r="K43" s="16"/>
      <c r="L43" s="16"/>
      <c r="M43" s="16"/>
      <c r="N43" s="16">
        <f>F43+G43+H43+I43+J43+K43+L43</f>
        <v>410.2</v>
      </c>
      <c r="O43" s="16">
        <f>0.214*POWER(C43,2)</f>
        <v>342.4</v>
      </c>
      <c r="P43" s="13">
        <f>N43/2</f>
        <v>205.1</v>
      </c>
      <c r="Q43" s="13">
        <f>O43/2</f>
        <v>171.2</v>
      </c>
    </row>
    <row r="44" spans="1:17" x14ac:dyDescent="0.2">
      <c r="A44" s="10" t="s">
        <v>61</v>
      </c>
      <c r="B44" s="11" t="str">
        <f>VLOOKUP(A44,[1]DesEspArbolada!A$1:B$65536,2,0)</f>
        <v>Ficus carica</v>
      </c>
      <c r="C44" s="12">
        <v>40</v>
      </c>
      <c r="D44" s="12">
        <v>10</v>
      </c>
      <c r="E44" s="15"/>
      <c r="F44" s="16">
        <f>0.142*POWER(C44,1.974)</f>
        <v>206.42142283778551</v>
      </c>
      <c r="G44" s="16"/>
      <c r="H44" s="16">
        <f>0.104*POWER(C44,2)</f>
        <v>166.4</v>
      </c>
      <c r="I44" s="16">
        <f>0.0538*POWER(D44,2)</f>
        <v>5.38</v>
      </c>
      <c r="J44" s="16">
        <f>0.151*POWER(C44,2)-0.0074*POWER(C44,2)*D44</f>
        <v>123.19999999999999</v>
      </c>
      <c r="K44" s="16"/>
      <c r="L44" s="16"/>
      <c r="M44" s="16"/>
      <c r="N44" s="16">
        <f>F44+G44+H44+I44+J44+K44+L44</f>
        <v>501.4014228377855</v>
      </c>
      <c r="O44" s="16">
        <f>0.335*POWER(C44,2)</f>
        <v>536</v>
      </c>
      <c r="P44" s="13">
        <f>N44/2</f>
        <v>250.70071141889275</v>
      </c>
      <c r="Q44" s="13">
        <f>O44/2</f>
        <v>268</v>
      </c>
    </row>
    <row r="45" spans="1:17" x14ac:dyDescent="0.2">
      <c r="A45" s="10" t="s">
        <v>65</v>
      </c>
      <c r="B45" s="11" t="str">
        <f>VLOOKUP(A45,[1]DesEspArbolada!A$1:B$65536,2,0)</f>
        <v>Fraxinus ornus</v>
      </c>
      <c r="C45" s="12">
        <v>40</v>
      </c>
      <c r="D45" s="12">
        <v>10</v>
      </c>
      <c r="E45" s="15">
        <f>IF(C45&gt;12.5,1,0)</f>
        <v>1</v>
      </c>
      <c r="F45" s="16">
        <f>0.0296*POWER(C45,2)*D45</f>
        <v>473.6</v>
      </c>
      <c r="G45" s="16"/>
      <c r="H45" s="16">
        <f>0.231*POWER((C45-12.5),2)*E45</f>
        <v>174.69374999999999</v>
      </c>
      <c r="I45" s="16">
        <f>0.0925*POWER(C45,2)</f>
        <v>148</v>
      </c>
      <c r="J45" s="16">
        <f>2.005*C45</f>
        <v>80.199999999999989</v>
      </c>
      <c r="K45" s="16"/>
      <c r="L45" s="16"/>
      <c r="M45" s="16"/>
      <c r="N45" s="16">
        <f>F45+G45+H45+I45+J45+K45+L45</f>
        <v>876.49375000000009</v>
      </c>
      <c r="O45" s="16">
        <f>0.359*POWER(C45,2)</f>
        <v>574.4</v>
      </c>
      <c r="P45" s="13">
        <f>N45/2</f>
        <v>438.24687500000005</v>
      </c>
      <c r="Q45" s="13">
        <f>O45/2</f>
        <v>287.2</v>
      </c>
    </row>
    <row r="46" spans="1:17" x14ac:dyDescent="0.2">
      <c r="A46" s="10" t="s">
        <v>48</v>
      </c>
      <c r="B46" s="11" t="str">
        <f>VLOOKUP(A46,[1]DesEspArbolada!A$1:B$65536,2,0)</f>
        <v>Salix atrocinerea</v>
      </c>
      <c r="C46" s="12">
        <v>40</v>
      </c>
      <c r="D46" s="12">
        <v>10</v>
      </c>
      <c r="E46" s="15">
        <f>IF(C46&gt;12.5,1,0)</f>
        <v>1</v>
      </c>
      <c r="F46" s="16">
        <f>0.0296*POWER(C46,2)*D46</f>
        <v>473.6</v>
      </c>
      <c r="G46" s="16"/>
      <c r="H46" s="16">
        <f>0.231*POWER((C46-12.5),2)*E46</f>
        <v>174.69374999999999</v>
      </c>
      <c r="I46" s="16">
        <f>0.0925*POWER(C46,2)</f>
        <v>148</v>
      </c>
      <c r="J46" s="16">
        <f>2.005*C46</f>
        <v>80.199999999999989</v>
      </c>
      <c r="K46" s="16"/>
      <c r="L46" s="16"/>
      <c r="M46" s="16"/>
      <c r="N46" s="16">
        <f>F46+G46+H46+I46+J46+K46+L46</f>
        <v>876.49375000000009</v>
      </c>
      <c r="O46" s="16">
        <f>0.359*POWER(C46,2)</f>
        <v>574.4</v>
      </c>
      <c r="P46" s="13">
        <f>N46/2</f>
        <v>438.24687500000005</v>
      </c>
      <c r="Q46" s="13">
        <f>O46/2</f>
        <v>287.2</v>
      </c>
    </row>
    <row r="47" spans="1:17" x14ac:dyDescent="0.2">
      <c r="A47" s="10" t="s">
        <v>30</v>
      </c>
      <c r="B47" s="11" t="str">
        <f>VLOOKUP(A47,[1]DesEspArbolada!A$1:B$65536,2,0)</f>
        <v>Prunus avium</v>
      </c>
      <c r="C47" s="12">
        <v>40</v>
      </c>
      <c r="D47" s="12">
        <v>10</v>
      </c>
      <c r="E47" s="15">
        <f>IF(C47&gt;12.5,1,0)</f>
        <v>1</v>
      </c>
      <c r="F47" s="16">
        <f>0.0296*POWER(C47,2)*D47</f>
        <v>473.6</v>
      </c>
      <c r="G47" s="16"/>
      <c r="H47" s="16">
        <f>0.231*POWER((C47-12.5),2)*E47</f>
        <v>174.69374999999999</v>
      </c>
      <c r="I47" s="16">
        <f>0.0925*POWER(C47,2)</f>
        <v>148</v>
      </c>
      <c r="J47" s="16">
        <f>2.005*C47</f>
        <v>80.199999999999989</v>
      </c>
      <c r="K47" s="16"/>
      <c r="L47" s="16"/>
      <c r="M47" s="16"/>
      <c r="N47" s="16">
        <f>F47+G47+H47+I47+J47+K47+L47</f>
        <v>876.49375000000009</v>
      </c>
      <c r="O47" s="16">
        <f>0.359*POWER(C47,2)</f>
        <v>574.4</v>
      </c>
      <c r="P47" s="13">
        <f>N47/2</f>
        <v>438.24687500000005</v>
      </c>
      <c r="Q47" s="13">
        <f>O47/2</f>
        <v>287.2</v>
      </c>
    </row>
    <row r="48" spans="1:17" ht="12" customHeight="1" x14ac:dyDescent="0.2">
      <c r="A48" s="10" t="s">
        <v>66</v>
      </c>
      <c r="B48" s="11" t="str">
        <f>VLOOKUP(A48,[1]DesEspArbolada!A$1:B$65536,2,0)</f>
        <v>Salix babylonica</v>
      </c>
      <c r="C48" s="12">
        <v>40</v>
      </c>
      <c r="D48" s="12">
        <v>10</v>
      </c>
      <c r="E48" s="15">
        <f>IF(C48&gt;12.5,1,0)</f>
        <v>1</v>
      </c>
      <c r="F48" s="16">
        <f>0.0296*POWER(C48,2)*D48</f>
        <v>473.6</v>
      </c>
      <c r="G48" s="16"/>
      <c r="H48" s="16">
        <f>0.231*POWER((C48-12.5),2)*E48</f>
        <v>174.69374999999999</v>
      </c>
      <c r="I48" s="16">
        <f>0.0925*POWER(C48,2)</f>
        <v>148</v>
      </c>
      <c r="J48" s="16">
        <f>2.005*C48</f>
        <v>80.199999999999989</v>
      </c>
      <c r="K48" s="16"/>
      <c r="L48" s="16"/>
      <c r="M48" s="16"/>
      <c r="N48" s="16">
        <f>F48+G48+H48+I48+J48+K48+L48</f>
        <v>876.49375000000009</v>
      </c>
      <c r="O48" s="16">
        <f>0.359*POWER(C48,2)</f>
        <v>574.4</v>
      </c>
      <c r="P48" s="13">
        <f>N48/2</f>
        <v>438.24687500000005</v>
      </c>
      <c r="Q48" s="13">
        <f>O48/2</f>
        <v>287.2</v>
      </c>
    </row>
    <row r="49" spans="1:17" ht="12" customHeight="1" x14ac:dyDescent="0.2">
      <c r="A49" s="10" t="s">
        <v>49</v>
      </c>
      <c r="B49" s="11" t="str">
        <f>VLOOKUP(A49,[1]DesEspArbolada!A$1:B$65536,2,0)</f>
        <v>Acer opalus</v>
      </c>
      <c r="C49" s="12">
        <v>40</v>
      </c>
      <c r="D49" s="12">
        <v>10</v>
      </c>
      <c r="E49" s="15"/>
      <c r="F49" s="16">
        <f>0.0114*POWER(C49,2)*D49</f>
        <v>182.40000000000003</v>
      </c>
      <c r="G49" s="16"/>
      <c r="H49" s="16">
        <f>0.0108*POWER(C49,2)*D49</f>
        <v>172.8</v>
      </c>
      <c r="I49" s="16">
        <f>1.672*C49</f>
        <v>66.88</v>
      </c>
      <c r="J49" s="16">
        <f>0.0354*POWER(C49,2)+1.187*D49</f>
        <v>68.510000000000005</v>
      </c>
      <c r="K49" s="16"/>
      <c r="L49" s="16"/>
      <c r="M49" s="16"/>
      <c r="N49" s="16">
        <f>F49+G49+H49+I49+J49+K49+L49</f>
        <v>490.59000000000003</v>
      </c>
      <c r="O49" s="16">
        <f>0.147*POWER(C49,2)</f>
        <v>235.2</v>
      </c>
      <c r="P49" s="13">
        <f>N49/2</f>
        <v>245.29500000000002</v>
      </c>
      <c r="Q49" s="13">
        <f>O49/2</f>
        <v>117.6</v>
      </c>
    </row>
    <row r="50" spans="1:17" ht="12" customHeight="1" x14ac:dyDescent="0.2">
      <c r="A50" s="10" t="s">
        <v>51</v>
      </c>
      <c r="B50" s="11" t="str">
        <f>VLOOKUP(A50,[1]DesEspArbolada!A$1:B$65536,2,0)</f>
        <v>Pinus pinaster sin resinar</v>
      </c>
      <c r="C50" s="12">
        <v>40</v>
      </c>
      <c r="D50" s="12">
        <v>10</v>
      </c>
      <c r="E50" s="15"/>
      <c r="F50" s="16">
        <f>0.0278*POWER(C50,2.115)*POWER(D50,0.618)</f>
        <v>282.09908504618613</v>
      </c>
      <c r="G50" s="16"/>
      <c r="H50" s="16">
        <f>0.000381*POWER(C50,3.141)</f>
        <v>41.019976614097203</v>
      </c>
      <c r="I50" s="16"/>
      <c r="J50" s="16">
        <f>0.0129*POWER(C50,2.32)</f>
        <v>67.19994075655427</v>
      </c>
      <c r="K50" s="16"/>
      <c r="L50" s="16"/>
      <c r="M50" s="16"/>
      <c r="N50" s="16">
        <f>F50+G50+H50+I50+J50+K50+L50</f>
        <v>390.31900241683763</v>
      </c>
      <c r="O50" s="16">
        <f>0.00444*POWER(C50,2.804)</f>
        <v>137.8983868549893</v>
      </c>
      <c r="P50" s="13">
        <f>N50/2</f>
        <v>195.15950120841882</v>
      </c>
      <c r="Q50" s="13">
        <f>O50/2</f>
        <v>68.949193427494649</v>
      </c>
    </row>
    <row r="51" spans="1:17" ht="12" customHeight="1" x14ac:dyDescent="0.2">
      <c r="A51" s="10" t="s">
        <v>54</v>
      </c>
      <c r="B51" s="11" t="str">
        <f>VLOOKUP(A51,[1]DesEspArbolada!A$1:B$65536,2,0)</f>
        <v>Quercus suber bornizo</v>
      </c>
      <c r="C51" s="12">
        <v>40</v>
      </c>
      <c r="D51" s="12">
        <v>10</v>
      </c>
      <c r="E51" s="15"/>
      <c r="F51" s="16">
        <f>0.00525*POWER(C51,2)*D51+0.278*C51*D51</f>
        <v>195.20000000000002</v>
      </c>
      <c r="G51" s="16"/>
      <c r="H51" s="16">
        <f>0.0135*POWER(C51,2)*D51</f>
        <v>216</v>
      </c>
      <c r="I51" s="16">
        <f>0.127*C51*D51</f>
        <v>50.8</v>
      </c>
      <c r="J51" s="16">
        <f>0.0463*C51*D51</f>
        <v>18.52</v>
      </c>
      <c r="K51" s="16"/>
      <c r="L51" s="16"/>
      <c r="M51" s="16"/>
      <c r="N51" s="16">
        <f>F51+G51+H51+I51+J51+K51+L51</f>
        <v>480.52000000000004</v>
      </c>
      <c r="O51" s="16">
        <f>0.0829*POWER(C51,2)</f>
        <v>132.64000000000001</v>
      </c>
      <c r="P51" s="13">
        <f>N51/2</f>
        <v>240.26000000000002</v>
      </c>
      <c r="Q51" s="13">
        <f>O51/2</f>
        <v>66.320000000000007</v>
      </c>
    </row>
    <row r="52" spans="1:17" ht="12" customHeight="1" x14ac:dyDescent="0.2">
      <c r="A52" s="10" t="s">
        <v>50</v>
      </c>
      <c r="B52" s="11" t="str">
        <f>VLOOKUP(A52,[1]DesEspArbolada!A$1:B$65536,2,0)</f>
        <v>Salix elaeagnos</v>
      </c>
      <c r="C52" s="12">
        <v>40</v>
      </c>
      <c r="D52" s="12">
        <v>10</v>
      </c>
      <c r="E52" s="15">
        <f>IF(C52&gt;12.5,1,0)</f>
        <v>1</v>
      </c>
      <c r="F52" s="16">
        <f>0.0296*POWER(C52,2)*D52</f>
        <v>473.6</v>
      </c>
      <c r="G52" s="16"/>
      <c r="H52" s="16">
        <f>0.231*POWER((C52-12.5),2)*E52</f>
        <v>174.69374999999999</v>
      </c>
      <c r="I52" s="16">
        <f>0.0925*POWER(C52,2)</f>
        <v>148</v>
      </c>
      <c r="J52" s="16">
        <f>2.005*C52</f>
        <v>80.199999999999989</v>
      </c>
      <c r="K52" s="16"/>
      <c r="L52" s="16"/>
      <c r="M52" s="16"/>
      <c r="N52" s="16">
        <f>F52+G52+H52+I52+J52+K52+L52</f>
        <v>876.49375000000009</v>
      </c>
      <c r="O52" s="16">
        <f>0.359*POWER(C52,2)</f>
        <v>574.4</v>
      </c>
      <c r="P52" s="13">
        <f>N52/2</f>
        <v>438.24687500000005</v>
      </c>
      <c r="Q52" s="13">
        <f>O52/2</f>
        <v>287.2</v>
      </c>
    </row>
    <row r="53" spans="1:17" ht="12" customHeight="1" x14ac:dyDescent="0.2">
      <c r="A53" s="10" t="s">
        <v>52</v>
      </c>
      <c r="B53" s="11" t="str">
        <f>VLOOKUP(A53,[1]DesEspArbolada!A$1:B$65536,2,0)</f>
        <v>Pinus pinaster anteriormente resinado</v>
      </c>
      <c r="C53" s="12">
        <v>40</v>
      </c>
      <c r="D53" s="12">
        <v>10</v>
      </c>
      <c r="E53" s="15"/>
      <c r="F53" s="16">
        <f>0.0278*POWER(C53,2.115)*POWER(D53,0.618)</f>
        <v>282.09908504618613</v>
      </c>
      <c r="G53" s="16"/>
      <c r="H53" s="16">
        <f>0.000381*POWER(C53,3.141)</f>
        <v>41.019976614097203</v>
      </c>
      <c r="I53" s="16"/>
      <c r="J53" s="16">
        <f>0.0129*POWER(C53,2.32)</f>
        <v>67.19994075655427</v>
      </c>
      <c r="K53" s="16"/>
      <c r="L53" s="16"/>
      <c r="M53" s="16"/>
      <c r="N53" s="16">
        <f>F53+G53+H53+I53+J53+K53+L53</f>
        <v>390.31900241683763</v>
      </c>
      <c r="O53" s="16">
        <f>0.00444*POWER(C53,2.804)</f>
        <v>137.8983868549893</v>
      </c>
      <c r="P53" s="13">
        <f>N53/2</f>
        <v>195.15950120841882</v>
      </c>
      <c r="Q53" s="13">
        <f>O53/2</f>
        <v>68.949193427494649</v>
      </c>
    </row>
    <row r="54" spans="1:17" ht="12" customHeight="1" x14ac:dyDescent="0.2">
      <c r="A54" s="10" t="s">
        <v>55</v>
      </c>
      <c r="B54" s="11" t="str">
        <f>VLOOKUP(A54,[1]DesEspArbolada!A$1:B$65536,2,0)</f>
        <v>Quercus suber descorchado anteriormente</v>
      </c>
      <c r="C54" s="12">
        <v>40</v>
      </c>
      <c r="D54" s="12">
        <v>10</v>
      </c>
      <c r="E54" s="15"/>
      <c r="F54" s="16">
        <f>0.00525*POWER(C54,2)*D54+0.278*C54*D54</f>
        <v>195.20000000000002</v>
      </c>
      <c r="G54" s="16"/>
      <c r="H54" s="16">
        <f>0.0135*POWER(C54,2)*D54</f>
        <v>216</v>
      </c>
      <c r="I54" s="16">
        <f>0.127*C54*D54</f>
        <v>50.8</v>
      </c>
      <c r="J54" s="16">
        <f>0.0463*C54*D54</f>
        <v>18.52</v>
      </c>
      <c r="K54" s="16"/>
      <c r="L54" s="16"/>
      <c r="M54" s="16"/>
      <c r="N54" s="16">
        <f>F54+G54+H54+I54+J54+K54+L54</f>
        <v>480.52000000000004</v>
      </c>
      <c r="O54" s="16">
        <f>0.0829*POWER(C54,2)</f>
        <v>132.64000000000001</v>
      </c>
      <c r="P54" s="13">
        <f>N54/2</f>
        <v>240.26000000000002</v>
      </c>
      <c r="Q54" s="13">
        <f>O54/2</f>
        <v>66.320000000000007</v>
      </c>
    </row>
    <row r="55" spans="1:17" ht="12" customHeight="1" x14ac:dyDescent="0.2">
      <c r="A55" s="10" t="s">
        <v>67</v>
      </c>
      <c r="B55" s="11" t="str">
        <f>VLOOKUP(A55,[1]DesEspArbolada!A$1:B$65536,2,0)</f>
        <v>Salix purpurea</v>
      </c>
      <c r="C55" s="12">
        <v>40</v>
      </c>
      <c r="D55" s="12">
        <v>10</v>
      </c>
      <c r="E55" s="15">
        <f>IF(C55&gt;12.5,1,0)</f>
        <v>1</v>
      </c>
      <c r="F55" s="16">
        <f>0.0296*POWER(C55,2)*D55</f>
        <v>473.6</v>
      </c>
      <c r="G55" s="16"/>
      <c r="H55" s="16">
        <f>0.231*POWER((C55-12.5),2)*E55</f>
        <v>174.69374999999999</v>
      </c>
      <c r="I55" s="16">
        <f>0.0925*POWER(C55,2)</f>
        <v>148</v>
      </c>
      <c r="J55" s="16">
        <f>2.005*C55</f>
        <v>80.199999999999989</v>
      </c>
      <c r="K55" s="16"/>
      <c r="L55" s="16"/>
      <c r="M55" s="16"/>
      <c r="N55" s="16">
        <f>F55+G55+H55+I55+J55+K55+L55</f>
        <v>876.49375000000009</v>
      </c>
      <c r="O55" s="16">
        <f>0.359*POWER(C55,2)</f>
        <v>574.4</v>
      </c>
      <c r="P55" s="13">
        <f>N55/2</f>
        <v>438.24687500000005</v>
      </c>
      <c r="Q55" s="13">
        <f>O55/2</f>
        <v>287.2</v>
      </c>
    </row>
  </sheetData>
  <autoFilter ref="A6:Q39">
    <sortState ref="A7:Q55">
      <sortCondition ref="A6:A39"/>
    </sortState>
  </autoFilter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46-409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Balbastre Cuenca, Marc</cp:lastModifiedBy>
  <dcterms:created xsi:type="dcterms:W3CDTF">2020-01-20T07:53:31Z</dcterms:created>
  <dcterms:modified xsi:type="dcterms:W3CDTF">2024-04-03T14:34:44Z</dcterms:modified>
</cp:coreProperties>
</file>